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20" windowWidth="12300" windowHeight="8835" tabRatio="696"/>
  </bookViews>
  <sheets>
    <sheet name="Traffic(all peaks)" sheetId="14" r:id="rId1"/>
    <sheet name="Traffic&amp;Basements" sheetId="9" r:id="rId2"/>
    <sheet name="DoubleDeck" sheetId="11" r:id="rId3"/>
    <sheet name="Traffic(hall call)" sheetId="15" r:id="rId4"/>
    <sheet name="Lift dynamics" sheetId="1" r:id="rId5"/>
  </sheets>
  <definedNames>
    <definedName name="_xlnm.Print_Area" localSheetId="1">'Traffic&amp;Basements'!$A$1:$E$50</definedName>
    <definedName name="_xlnm.Print_Area" localSheetId="0">'Traffic(all peaks)'!$A$1:$E$47</definedName>
    <definedName name="_xlnm.Print_Area" localSheetId="3">'Traffic(hall call)'!$A$1:$E$56</definedName>
  </definedNames>
  <calcPr calcId="145621"/>
</workbook>
</file>

<file path=xl/calcChain.xml><?xml version="1.0" encoding="utf-8"?>
<calcChain xmlns="http://schemas.openxmlformats.org/spreadsheetml/2006/main">
  <c r="J31" i="14" l="1"/>
  <c r="B31" i="14" s="1"/>
  <c r="K29" i="14"/>
  <c r="G29" i="14"/>
  <c r="N30" i="15"/>
  <c r="B44" i="15" s="1"/>
  <c r="N32" i="15" s="1"/>
  <c r="J30" i="15"/>
  <c r="B32" i="15" s="1"/>
  <c r="K30" i="15"/>
  <c r="B33" i="15" s="1"/>
  <c r="J32" i="15"/>
  <c r="G34" i="15" s="1"/>
  <c r="B35" i="15" s="1"/>
  <c r="B36" i="15" s="1"/>
  <c r="G30" i="15"/>
  <c r="H30" i="15"/>
  <c r="I30" i="15" s="1"/>
  <c r="D9" i="15"/>
  <c r="B31" i="15"/>
  <c r="K32" i="15"/>
  <c r="J33" i="15"/>
  <c r="G35" i="15" s="1"/>
  <c r="H36" i="15" s="1"/>
  <c r="B39" i="15"/>
  <c r="D9" i="14"/>
  <c r="H29" i="14"/>
  <c r="B33" i="14" s="1"/>
  <c r="J29" i="14"/>
  <c r="B30" i="14"/>
  <c r="K31" i="14"/>
  <c r="B32" i="14"/>
  <c r="J32" i="14"/>
  <c r="B38" i="14"/>
  <c r="D19" i="1"/>
  <c r="D20" i="1" s="1"/>
  <c r="K29" i="11"/>
  <c r="B32" i="11" s="1"/>
  <c r="H29" i="11"/>
  <c r="B33" i="11" s="1"/>
  <c r="J31" i="11"/>
  <c r="G29" i="11"/>
  <c r="B38" i="11"/>
  <c r="J32" i="11"/>
  <c r="K31" i="11"/>
  <c r="B30" i="11"/>
  <c r="J29" i="11"/>
  <c r="D9" i="11"/>
  <c r="D15" i="1"/>
  <c r="D11" i="1" s="1"/>
  <c r="G8" i="1" s="1"/>
  <c r="D17" i="1"/>
  <c r="D16" i="1"/>
  <c r="D18" i="1"/>
  <c r="D23" i="1"/>
  <c r="D9" i="9"/>
  <c r="H17" i="9"/>
  <c r="L30" i="9" s="1"/>
  <c r="H18" i="9"/>
  <c r="H20" i="9" s="1"/>
  <c r="H21" i="9" s="1"/>
  <c r="J20" i="9"/>
  <c r="J30" i="9"/>
  <c r="G33" i="9"/>
  <c r="H33" i="9"/>
  <c r="I33" i="9" s="1"/>
  <c r="J33" i="9"/>
  <c r="K33" i="9"/>
  <c r="B34" i="9"/>
  <c r="J35" i="9"/>
  <c r="B35" i="9" s="1"/>
  <c r="K35" i="9"/>
  <c r="G38" i="9" s="1"/>
  <c r="H39" i="9" s="1"/>
  <c r="B36" i="9"/>
  <c r="J36" i="9"/>
  <c r="B42" i="9"/>
  <c r="C5" i="1"/>
  <c r="H15" i="1"/>
  <c r="D12" i="1" l="1"/>
  <c r="D13" i="1" s="1"/>
  <c r="G39" i="11"/>
  <c r="G41" i="11" s="1"/>
  <c r="G42" i="11" s="1"/>
  <c r="B40" i="11" s="1"/>
  <c r="G39" i="14"/>
  <c r="G42" i="14" s="1"/>
  <c r="G43" i="14" s="1"/>
  <c r="B40" i="14" s="1"/>
  <c r="D21" i="1"/>
  <c r="D22" i="1"/>
  <c r="D10" i="1" s="1"/>
  <c r="F10" i="1" s="1"/>
  <c r="I29" i="14"/>
  <c r="I39" i="14" s="1"/>
  <c r="B41" i="14" s="1"/>
  <c r="I40" i="15"/>
  <c r="B43" i="15" s="1"/>
  <c r="H23" i="9"/>
  <c r="H24" i="9" s="1"/>
  <c r="H28" i="9"/>
  <c r="M30" i="9" s="1"/>
  <c r="N34" i="15"/>
  <c r="N36" i="15" s="1"/>
  <c r="B46" i="15" s="1"/>
  <c r="B45" i="15"/>
  <c r="B37" i="15"/>
  <c r="B38" i="15" s="1"/>
  <c r="G37" i="15"/>
  <c r="B40" i="15" s="1"/>
  <c r="I43" i="15" s="1"/>
  <c r="B41" i="15" s="1"/>
  <c r="G9" i="1"/>
  <c r="G37" i="9"/>
  <c r="B38" i="9" s="1"/>
  <c r="B39" i="9" s="1"/>
  <c r="B37" i="9"/>
  <c r="G43" i="9" s="1"/>
  <c r="G45" i="9" s="1"/>
  <c r="G46" i="9" s="1"/>
  <c r="B44" i="9" s="1"/>
  <c r="I29" i="11"/>
  <c r="G34" i="11" s="1"/>
  <c r="H35" i="11" s="1"/>
  <c r="B31" i="11"/>
  <c r="B34" i="15"/>
  <c r="G40" i="15" s="1"/>
  <c r="G51" i="15" s="1"/>
  <c r="G52" i="15" s="1"/>
  <c r="B42" i="15" s="1"/>
  <c r="G33" i="14" l="1"/>
  <c r="B34" i="14" s="1"/>
  <c r="B35" i="14" s="1"/>
  <c r="B36" i="14" s="1"/>
  <c r="B37" i="14" s="1"/>
  <c r="G34" i="14"/>
  <c r="H35" i="14" s="1"/>
  <c r="F8" i="1"/>
  <c r="F9" i="1" s="1"/>
  <c r="G33" i="11"/>
  <c r="B34" i="11" s="1"/>
  <c r="B35" i="11" s="1"/>
  <c r="G40" i="9"/>
  <c r="B43" i="9" s="1"/>
  <c r="B40" i="9"/>
  <c r="B41" i="9" s="1"/>
  <c r="B48" i="15"/>
  <c r="N42" i="15" s="1"/>
  <c r="B49" i="15" s="1"/>
  <c r="N38" i="15"/>
  <c r="B47" i="15" s="1"/>
  <c r="C47" i="15" s="1"/>
  <c r="G36" i="14" l="1"/>
  <c r="B39" i="14" s="1"/>
  <c r="G36" i="11"/>
  <c r="B39" i="11" s="1"/>
  <c r="B36" i="11"/>
  <c r="B37" i="11" s="1"/>
</calcChain>
</file>

<file path=xl/sharedStrings.xml><?xml version="1.0" encoding="utf-8"?>
<sst xmlns="http://schemas.openxmlformats.org/spreadsheetml/2006/main" count="563" uniqueCount="200">
  <si>
    <t>Rated speed (m/s)</t>
  </si>
  <si>
    <t>Rated acceleration (m/s^2)</t>
  </si>
  <si>
    <t>Jerk (m/s^3)</t>
  </si>
  <si>
    <t>Maximum speed reached during trip (m/s)</t>
  </si>
  <si>
    <t>Flight time for trip distance (s)</t>
  </si>
  <si>
    <t>Trip time if rated speed not reached during trip (s)</t>
  </si>
  <si>
    <t>Trip time if rated speed is reached during trip (s)</t>
  </si>
  <si>
    <t>Trip distance (m)</t>
  </si>
  <si>
    <t>Possible speed for trip distance (m/s)</t>
  </si>
  <si>
    <r>
      <t xml:space="preserve">Lift dynamics calculation </t>
    </r>
    <r>
      <rPr>
        <sz val="10"/>
        <rFont val="Arial"/>
      </rPr>
      <t xml:space="preserve">spreadsheet by Dr Gina Barney.  Free (at your risk) use provided source acknowledged.  </t>
    </r>
    <r>
      <rPr>
        <u/>
        <sz val="10"/>
        <color indexed="48"/>
        <rFont val="Arial"/>
        <family val="2"/>
      </rPr>
      <t>www.liftconsulting.org</t>
    </r>
  </si>
  <si>
    <t>Entries</t>
  </si>
  <si>
    <t>Project Name</t>
  </si>
  <si>
    <t>Enter your project name here</t>
  </si>
  <si>
    <t>Your project name</t>
  </si>
  <si>
    <t>Copyright 2003 Gina Barney.Free use (at your risk) provided the whole results page is printed in any report.</t>
  </si>
  <si>
    <t>DESIGN ID</t>
  </si>
  <si>
    <t>Design Name:</t>
  </si>
  <si>
    <t>Design by:</t>
  </si>
  <si>
    <t>Dr Gina Barney</t>
  </si>
  <si>
    <t>Design Date:</t>
  </si>
  <si>
    <t>INPUT DATA</t>
  </si>
  <si>
    <t>Value</t>
  </si>
  <si>
    <t>Comment</t>
  </si>
  <si>
    <t>Help</t>
  </si>
  <si>
    <t xml:space="preserve">Number of floors </t>
  </si>
  <si>
    <t>p106</t>
  </si>
  <si>
    <t>t7.2</t>
  </si>
  <si>
    <t xml:space="preserve">Actual capacity </t>
  </si>
  <si>
    <t>ISO area/0.21 sq.m. [persons]</t>
  </si>
  <si>
    <t xml:space="preserve">Number of passengers </t>
  </si>
  <si>
    <t>s5.2</t>
  </si>
  <si>
    <t xml:space="preserve">Number of lifts </t>
  </si>
  <si>
    <t>t6.7</t>
  </si>
  <si>
    <t xml:space="preserve">Rated speed </t>
  </si>
  <si>
    <t>t5.3</t>
  </si>
  <si>
    <t>Building population</t>
  </si>
  <si>
    <t>s6.5</t>
  </si>
  <si>
    <t xml:space="preserve">Interfloor distance </t>
  </si>
  <si>
    <t>s7.4</t>
  </si>
  <si>
    <t>Express jump</t>
  </si>
  <si>
    <t>e5.22</t>
  </si>
  <si>
    <t>Express additional time</t>
  </si>
  <si>
    <t>Single floor flight time</t>
  </si>
  <si>
    <t>Door close time</t>
  </si>
  <si>
    <t>t5.6</t>
  </si>
  <si>
    <t xml:space="preserve">Door open time </t>
  </si>
  <si>
    <t>Advance door opening</t>
  </si>
  <si>
    <t xml:space="preserve">Start delay </t>
  </si>
  <si>
    <t>f5.3</t>
  </si>
  <si>
    <t>SCRAP PAD!</t>
  </si>
  <si>
    <t>Passenger transfer time</t>
  </si>
  <si>
    <t>s5.9</t>
  </si>
  <si>
    <t>tv</t>
  </si>
  <si>
    <t>T</t>
  </si>
  <si>
    <t>ts</t>
  </si>
  <si>
    <t>H</t>
  </si>
  <si>
    <t>S</t>
  </si>
  <si>
    <t>RESULTS</t>
  </si>
  <si>
    <t>Number of passengers</t>
  </si>
  <si>
    <t>Highest reversal floor</t>
  </si>
  <si>
    <t>e5.12</t>
  </si>
  <si>
    <t>H from k27</t>
  </si>
  <si>
    <t>s using cc</t>
  </si>
  <si>
    <t xml:space="preserve">Number of stops </t>
  </si>
  <si>
    <t>e5.5</t>
  </si>
  <si>
    <t>RTT</t>
  </si>
  <si>
    <t>h using cc</t>
  </si>
  <si>
    <t>Performance time</t>
  </si>
  <si>
    <t>e5.24</t>
  </si>
  <si>
    <t>rtt as p</t>
  </si>
  <si>
    <t xml:space="preserve">Round trip time </t>
  </si>
  <si>
    <t>e4.13</t>
  </si>
  <si>
    <t>rtt as cc</t>
  </si>
  <si>
    <t xml:space="preserve">Interval </t>
  </si>
  <si>
    <t>e4.7</t>
  </si>
  <si>
    <t>int as cc</t>
  </si>
  <si>
    <t>Handling capacity</t>
  </si>
  <si>
    <t>e4.4</t>
  </si>
  <si>
    <t>awt</t>
  </si>
  <si>
    <t>Percentage population</t>
  </si>
  <si>
    <t>e4.9</t>
  </si>
  <si>
    <t>Capacity factor (%)</t>
  </si>
  <si>
    <t>down peak</t>
  </si>
  <si>
    <t>midday</t>
  </si>
  <si>
    <t xml:space="preserve">Uppeak average waiting time </t>
  </si>
  <si>
    <t>e6.1</t>
  </si>
  <si>
    <t>rttd</t>
  </si>
  <si>
    <t>hcmd</t>
  </si>
  <si>
    <t>Down peak handling capacity</t>
  </si>
  <si>
    <t>e13.10</t>
  </si>
  <si>
    <t>Midday peak handling capacity</t>
  </si>
  <si>
    <t>e15.2</t>
  </si>
  <si>
    <t>intd</t>
  </si>
  <si>
    <t>COMMENTS:</t>
  </si>
  <si>
    <t>hcd</t>
  </si>
  <si>
    <t>Help refers to the Elevator Traffic Handbook (ISBN 0415274761): p=page; s=section; f=figure; e=equation; t=table.</t>
  </si>
  <si>
    <r>
      <t xml:space="preserve">Enquiries: Dr Gina Barney, </t>
    </r>
    <r>
      <rPr>
        <i/>
        <sz val="10"/>
        <color indexed="12"/>
        <rFont val="Times New Roman"/>
        <family val="1"/>
      </rPr>
      <t>Gina Barney</t>
    </r>
    <r>
      <rPr>
        <sz val="10"/>
        <color indexed="12"/>
        <rFont val="Times New Roman"/>
        <family val="1"/>
      </rPr>
      <t xml:space="preserve"> Associates, PO Box 7, Sedbergh. LA10 5GE, England. www.liftconsulting.org</t>
    </r>
  </si>
  <si>
    <r>
      <t>Number of floors (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), range 5-24, above main terminal (MT)</t>
    </r>
  </si>
  <si>
    <r>
      <t>Number of passengers (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) [persons]</t>
    </r>
  </si>
  <si>
    <r>
      <t>Number of lifts (</t>
    </r>
    <r>
      <rPr>
        <i/>
        <sz val="8"/>
        <rFont val="Arial"/>
        <family val="2"/>
      </rPr>
      <t>L</t>
    </r>
    <r>
      <rPr>
        <sz val="8"/>
        <rFont val="Arial"/>
        <family val="2"/>
      </rPr>
      <t>) [number]</t>
    </r>
  </si>
  <si>
    <r>
      <t>Rated speed (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) [m/s]</t>
    </r>
  </si>
  <si>
    <r>
      <t>Population (</t>
    </r>
    <r>
      <rPr>
        <i/>
        <sz val="8"/>
        <rFont val="Arial"/>
        <family val="2"/>
      </rPr>
      <t>POP</t>
    </r>
    <r>
      <rPr>
        <sz val="8"/>
        <rFont val="Arial"/>
        <family val="2"/>
      </rPr>
      <t>) expected during peak 5-minutes [persons]</t>
    </r>
  </si>
  <si>
    <r>
      <t>Average interfloor distance (</t>
    </r>
    <r>
      <rPr>
        <i/>
        <sz val="8"/>
        <rFont val="Arial"/>
        <family val="2"/>
      </rPr>
      <t>df</t>
    </r>
    <r>
      <rPr>
        <sz val="8"/>
        <rFont val="Arial"/>
        <family val="2"/>
      </rPr>
      <t>) [m]</t>
    </r>
  </si>
  <si>
    <r>
      <t xml:space="preserve">Distance from MT to Express Zone Terminal (EZT) floor </t>
    </r>
    <r>
      <rPr>
        <i/>
        <sz val="8"/>
        <rFont val="Arial"/>
        <family val="2"/>
      </rPr>
      <t xml:space="preserve">- </t>
    </r>
    <r>
      <rPr>
        <sz val="8"/>
        <rFont val="Arial"/>
        <family val="2"/>
      </rPr>
      <t>Information only.</t>
    </r>
  </si>
  <si>
    <r>
      <t>Extra time MT to EZT (</t>
    </r>
    <r>
      <rPr>
        <i/>
        <sz val="8"/>
        <rFont val="Arial"/>
        <family val="2"/>
      </rPr>
      <t>te-tf</t>
    </r>
    <r>
      <rPr>
        <sz val="8"/>
        <rFont val="Arial"/>
        <family val="2"/>
      </rPr>
      <t>(1)) [s] - from dynamics program</t>
    </r>
  </si>
  <si>
    <r>
      <t>Time (</t>
    </r>
    <r>
      <rPr>
        <i/>
        <sz val="8"/>
        <rFont val="Arial"/>
        <family val="2"/>
      </rPr>
      <t>tf</t>
    </r>
    <r>
      <rPr>
        <sz val="8"/>
        <rFont val="Arial"/>
        <family val="2"/>
      </rPr>
      <t>(1)) from instant doors closed until lift level at next landing [s]</t>
    </r>
  </si>
  <si>
    <r>
      <t>Time (</t>
    </r>
    <r>
      <rPr>
        <i/>
        <sz val="8"/>
        <rFont val="Arial"/>
        <family val="2"/>
      </rPr>
      <t>tc</t>
    </r>
    <r>
      <rPr>
        <sz val="8"/>
        <rFont val="Arial"/>
        <family val="2"/>
      </rPr>
      <t>) from instant doors start to close until closed [s]</t>
    </r>
  </si>
  <si>
    <r>
      <t>Time (</t>
    </r>
    <r>
      <rPr>
        <i/>
        <sz val="8"/>
        <rFont val="Arial"/>
        <family val="2"/>
      </rPr>
      <t>to</t>
    </r>
    <r>
      <rPr>
        <sz val="8"/>
        <rFont val="Arial"/>
        <family val="2"/>
      </rPr>
      <t>) from instant doors start to open until 800 mm open [s]</t>
    </r>
  </si>
  <si>
    <r>
      <t>Overlap time (</t>
    </r>
    <r>
      <rPr>
        <i/>
        <sz val="8"/>
        <rFont val="Arial"/>
        <family val="2"/>
      </rPr>
      <t>tad</t>
    </r>
    <r>
      <rPr>
        <sz val="8"/>
        <rFont val="Arial"/>
        <family val="2"/>
      </rPr>
      <t>) of door opening and levelling [s]</t>
    </r>
  </si>
  <si>
    <r>
      <t>Delay time (</t>
    </r>
    <r>
      <rPr>
        <i/>
        <sz val="8"/>
        <rFont val="Arial"/>
        <family val="2"/>
      </rPr>
      <t>td</t>
    </r>
    <r>
      <rPr>
        <sz val="8"/>
        <rFont val="Arial"/>
        <family val="2"/>
      </rPr>
      <t>) from instant doors close until motion starts [s]</t>
    </r>
  </si>
  <si>
    <r>
      <t>Time (</t>
    </r>
    <r>
      <rPr>
        <i/>
        <sz val="8"/>
        <rFont val="Arial"/>
        <family val="2"/>
      </rPr>
      <t>tp</t>
    </r>
    <r>
      <rPr>
        <sz val="8"/>
        <rFont val="Arial"/>
        <family val="2"/>
      </rPr>
      <t>) one way transfer [s]</t>
    </r>
  </si>
  <si>
    <r>
      <t>Given data from above (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) [persons]</t>
    </r>
  </si>
  <si>
    <r>
      <t>Formula (</t>
    </r>
    <r>
      <rPr>
        <i/>
        <sz val="8"/>
        <rFont val="Arial"/>
        <family val="2"/>
      </rPr>
      <t>H</t>
    </r>
    <r>
      <rPr>
        <sz val="8"/>
        <rFont val="Arial"/>
        <family val="2"/>
      </rPr>
      <t xml:space="preserve">) [number] </t>
    </r>
    <r>
      <rPr>
        <sz val="8"/>
        <color indexed="10"/>
        <rFont val="Arial"/>
        <family val="2"/>
      </rPr>
      <t>WARNING</t>
    </r>
    <r>
      <rPr>
        <sz val="8"/>
        <rFont val="Arial"/>
        <family val="2"/>
      </rPr>
      <t xml:space="preserve"> Can differ fromTables 5.1 &amp; 6.8.</t>
    </r>
  </si>
  <si>
    <r>
      <t>Formula (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) [number]</t>
    </r>
  </si>
  <si>
    <r>
      <t>Time (</t>
    </r>
    <r>
      <rPr>
        <i/>
        <sz val="8"/>
        <rFont val="Arial"/>
        <family val="2"/>
      </rPr>
      <t>T</t>
    </r>
    <r>
      <rPr>
        <sz val="8"/>
        <rFont val="Arial"/>
        <family val="2"/>
      </rPr>
      <t>) from instant doors start to close until 800 mm open [s]</t>
    </r>
  </si>
  <si>
    <r>
      <t>Formula (</t>
    </r>
    <r>
      <rPr>
        <i/>
        <sz val="8"/>
        <rFont val="Arial"/>
        <family val="2"/>
      </rPr>
      <t>RTT</t>
    </r>
    <r>
      <rPr>
        <sz val="8"/>
        <rFont val="Arial"/>
        <family val="2"/>
      </rPr>
      <t>) [s]</t>
    </r>
  </si>
  <si>
    <r>
      <t>Formula (</t>
    </r>
    <r>
      <rPr>
        <i/>
        <sz val="8"/>
        <rFont val="Arial"/>
        <family val="2"/>
      </rPr>
      <t>INT</t>
    </r>
    <r>
      <rPr>
        <sz val="8"/>
        <rFont val="Arial"/>
        <family val="2"/>
      </rPr>
      <t>) Round trip time/Number of lifts [s]</t>
    </r>
  </si>
  <si>
    <r>
      <t>Formula (</t>
    </r>
    <r>
      <rPr>
        <i/>
        <sz val="8"/>
        <rFont val="Arial"/>
        <family val="2"/>
      </rPr>
      <t>UPPHC</t>
    </r>
    <r>
      <rPr>
        <sz val="8"/>
        <rFont val="Arial"/>
        <family val="2"/>
      </rPr>
      <t>) [persons/5-minutes]</t>
    </r>
  </si>
  <si>
    <r>
      <t>Formula (%</t>
    </r>
    <r>
      <rPr>
        <i/>
        <sz val="8"/>
        <rFont val="Arial"/>
        <family val="2"/>
      </rPr>
      <t>POP</t>
    </r>
    <r>
      <rPr>
        <sz val="8"/>
        <rFont val="Arial"/>
        <family val="2"/>
      </rPr>
      <t>) Handling capacity/Building population [number]</t>
    </r>
  </si>
  <si>
    <r>
      <t>Formula (</t>
    </r>
    <r>
      <rPr>
        <i/>
        <sz val="8"/>
        <rFont val="Arial"/>
        <family val="2"/>
      </rPr>
      <t>CF</t>
    </r>
    <r>
      <rPr>
        <sz val="8"/>
        <rFont val="Arial"/>
        <family val="2"/>
      </rPr>
      <t>) Number of passengers (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)/Actual capacity (</t>
    </r>
    <r>
      <rPr>
        <i/>
        <sz val="8"/>
        <rFont val="Arial"/>
        <family val="2"/>
      </rPr>
      <t>AC</t>
    </r>
    <r>
      <rPr>
        <sz val="8"/>
        <rFont val="Arial"/>
        <family val="2"/>
      </rPr>
      <t>) [number]</t>
    </r>
  </si>
  <si>
    <r>
      <t>Estimated value passenger average waiting time (</t>
    </r>
    <r>
      <rPr>
        <i/>
        <sz val="8"/>
        <rFont val="Arial"/>
        <family val="2"/>
      </rPr>
      <t>AWT</t>
    </r>
    <r>
      <rPr>
        <sz val="8"/>
        <rFont val="Arial"/>
        <family val="2"/>
      </rPr>
      <t>) [s]</t>
    </r>
  </si>
  <si>
    <r>
      <t>Estimated value (</t>
    </r>
    <r>
      <rPr>
        <i/>
        <sz val="8"/>
        <rFont val="Arial"/>
        <family val="2"/>
      </rPr>
      <t>DNPHC</t>
    </r>
    <r>
      <rPr>
        <sz val="8"/>
        <rFont val="Arial"/>
        <family val="2"/>
      </rPr>
      <t>) [persons/5-minutes]</t>
    </r>
  </si>
  <si>
    <r>
      <t>Estimated value (</t>
    </r>
    <r>
      <rPr>
        <i/>
        <sz val="8"/>
        <rFont val="Arial"/>
        <family val="2"/>
      </rPr>
      <t>MDDHC</t>
    </r>
    <r>
      <rPr>
        <sz val="8"/>
        <rFont val="Arial"/>
        <family val="2"/>
      </rPr>
      <t>) [persons/5-minutes]</t>
    </r>
  </si>
  <si>
    <t>Your design name</t>
  </si>
  <si>
    <t>Your name</t>
  </si>
  <si>
    <t>Number of basement floors</t>
  </si>
  <si>
    <t>s8.3.3</t>
  </si>
  <si>
    <t>Basement calc</t>
  </si>
  <si>
    <t>% basement passengers</t>
  </si>
  <si>
    <t>Percentage of arrivals into basement (persons)</t>
  </si>
  <si>
    <t>P is</t>
  </si>
  <si>
    <t>M is</t>
  </si>
  <si>
    <t>H is for 1</t>
  </si>
  <si>
    <t>H is for 2</t>
  </si>
  <si>
    <t>tvm</t>
  </si>
  <si>
    <t>H is for 3</t>
  </si>
  <si>
    <t>Basement distance</t>
  </si>
  <si>
    <t>Average distance between basement floors (m)</t>
  </si>
  <si>
    <t>H is for 4</t>
  </si>
  <si>
    <t>H is for 5</t>
  </si>
  <si>
    <t>Basement flight time</t>
  </si>
  <si>
    <t>Hm</t>
  </si>
  <si>
    <t>tsm</t>
  </si>
  <si>
    <t>Sm</t>
  </si>
  <si>
    <t>RTTm</t>
  </si>
  <si>
    <t xml:space="preserve">Average waiting time </t>
  </si>
  <si>
    <r>
      <t>Number of floors (</t>
    </r>
    <r>
      <rPr>
        <i/>
        <sz val="8"/>
        <rFont val="Arial"/>
        <family val="2"/>
      </rPr>
      <t>M</t>
    </r>
    <r>
      <rPr>
        <sz val="8"/>
        <rFont val="Arial"/>
        <family val="2"/>
      </rPr>
      <t>), range 1-5, below main terminal</t>
    </r>
  </si>
  <si>
    <r>
      <t>Distance MT to Express Zone Terminal (EZT) floor</t>
    </r>
    <r>
      <rPr>
        <i/>
        <sz val="8"/>
        <rFont val="Arial"/>
        <family val="2"/>
      </rPr>
      <t xml:space="preserve"> -  </t>
    </r>
    <r>
      <rPr>
        <sz val="8"/>
        <rFont val="Arial"/>
        <family val="2"/>
      </rPr>
      <t>Information only.</t>
    </r>
  </si>
  <si>
    <r>
      <t>Extra time MT to EZT floor (</t>
    </r>
    <r>
      <rPr>
        <i/>
        <sz val="8"/>
        <rFont val="Arial"/>
        <family val="2"/>
      </rPr>
      <t>te-tf</t>
    </r>
    <r>
      <rPr>
        <sz val="8"/>
        <rFont val="Arial"/>
        <family val="2"/>
      </rPr>
      <t>(1)) [s] - from dynamics program</t>
    </r>
  </si>
  <si>
    <r>
      <t>Time (</t>
    </r>
    <r>
      <rPr>
        <i/>
        <sz val="8"/>
        <rFont val="Arial"/>
        <family val="2"/>
      </rPr>
      <t>tfB</t>
    </r>
    <r>
      <rPr>
        <sz val="8"/>
        <rFont val="Arial"/>
        <family val="2"/>
      </rPr>
      <t>) from instant doors closed until lift level at next landing (s)</t>
    </r>
  </si>
  <si>
    <r>
      <t>Time (</t>
    </r>
    <r>
      <rPr>
        <i/>
        <sz val="8"/>
        <rFont val="Arial"/>
        <family val="2"/>
      </rPr>
      <t>tc</t>
    </r>
    <r>
      <rPr>
        <sz val="8"/>
        <rFont val="Arial"/>
        <family val="2"/>
      </rPr>
      <t>) from instant doors start to close until closed (s)</t>
    </r>
  </si>
  <si>
    <r>
      <t>Given data from above (</t>
    </r>
    <r>
      <rPr>
        <i/>
        <sz val="8"/>
        <rFont val="Arial"/>
        <family val="2"/>
      </rPr>
      <t>P)</t>
    </r>
    <r>
      <rPr>
        <sz val="8"/>
        <rFont val="Arial"/>
        <family val="2"/>
      </rPr>
      <t xml:space="preserve"> [persons]</t>
    </r>
  </si>
  <si>
    <r>
      <t>Formula (</t>
    </r>
    <r>
      <rPr>
        <i/>
        <sz val="8"/>
        <rFont val="Arial"/>
        <family val="2"/>
      </rPr>
      <t>H</t>
    </r>
    <r>
      <rPr>
        <sz val="8"/>
        <rFont val="Arial"/>
        <family val="2"/>
      </rPr>
      <t xml:space="preserve">) [number] </t>
    </r>
    <r>
      <rPr>
        <sz val="8"/>
        <color indexed="10"/>
        <rFont val="Arial"/>
        <family val="2"/>
      </rPr>
      <t>WARNING</t>
    </r>
    <r>
      <rPr>
        <sz val="8"/>
        <rFont val="Arial"/>
        <family val="2"/>
      </rPr>
      <t xml:space="preserve"> Can differ from Tables 5.1 &amp; 6.8.</t>
    </r>
  </si>
  <si>
    <t>Flight time for trip distance</t>
  </si>
  <si>
    <t>Distance to reach rated speed</t>
  </si>
  <si>
    <t>Distance to reach maximum speed (m)</t>
  </si>
  <si>
    <t>Minimum trip distance to reach maximum speed (m)</t>
  </si>
  <si>
    <t>Distance to v if amax not reached</t>
  </si>
  <si>
    <t>Acceleration at max speed</t>
  </si>
  <si>
    <t>Time to max speed</t>
  </si>
  <si>
    <t>Trip time</t>
  </si>
  <si>
    <t>Calculation details</t>
  </si>
  <si>
    <t>Number of floors served by one deck</t>
  </si>
  <si>
    <t>Total building population</t>
  </si>
  <si>
    <t xml:space="preserve">Double interfloor distance </t>
  </si>
  <si>
    <t>Double floor flight time</t>
  </si>
  <si>
    <t>h</t>
  </si>
  <si>
    <t>i</t>
  </si>
  <si>
    <t>j</t>
  </si>
  <si>
    <t>k</t>
  </si>
  <si>
    <t>l</t>
  </si>
  <si>
    <t>19.1.7</t>
  </si>
  <si>
    <t>Lift traffic design spreadsheet - Double Deck</t>
  </si>
  <si>
    <t>Lift traffic design spreadsheet - with Basements</t>
  </si>
  <si>
    <t>Lift traffic design spreadsheet - All Peaks</t>
  </si>
  <si>
    <t>Look ahead</t>
  </si>
  <si>
    <r>
      <t>Look ahead (</t>
    </r>
    <r>
      <rPr>
        <i/>
        <sz val="8"/>
        <rFont val="Arial"/>
        <family val="2"/>
      </rPr>
      <t>k</t>
    </r>
    <r>
      <rPr>
        <sz val="8"/>
        <rFont val="Arial"/>
        <family val="2"/>
      </rPr>
      <t>)</t>
    </r>
  </si>
  <si>
    <t>Hall call number of stops</t>
  </si>
  <si>
    <t>Hall call highest reversal floor</t>
  </si>
  <si>
    <t>Hall call interval</t>
  </si>
  <si>
    <t>Hall call handling capacity</t>
  </si>
  <si>
    <r>
      <t>S</t>
    </r>
    <r>
      <rPr>
        <sz val="10"/>
        <rFont val="Times New Roman"/>
        <family val="1"/>
      </rPr>
      <t xml:space="preserve"> hall</t>
    </r>
  </si>
  <si>
    <r>
      <t>H</t>
    </r>
    <r>
      <rPr>
        <sz val="10"/>
        <rFont val="Times New Roman"/>
        <family val="1"/>
      </rPr>
      <t xml:space="preserve"> hall</t>
    </r>
  </si>
  <si>
    <r>
      <t xml:space="preserve">RTT </t>
    </r>
    <r>
      <rPr>
        <sz val="10"/>
        <rFont val="Times New Roman"/>
        <family val="1"/>
      </rPr>
      <t>hall</t>
    </r>
  </si>
  <si>
    <t>INT hall</t>
  </si>
  <si>
    <t>HC hall</t>
  </si>
  <si>
    <t>Hall call</t>
  </si>
  <si>
    <t>HCA uppeak AWT</t>
  </si>
  <si>
    <t>Uppeak journey time</t>
  </si>
  <si>
    <t>AJT</t>
  </si>
  <si>
    <t>HCA journey time</t>
  </si>
  <si>
    <t>AJT hall</t>
  </si>
  <si>
    <t>29.06.07</t>
  </si>
  <si>
    <t xml:space="preserve">Rated load </t>
  </si>
  <si>
    <t xml:space="preserve">Actual car capacity </t>
  </si>
  <si>
    <t>Rated load</t>
  </si>
  <si>
    <t>ISO rated load [kg]</t>
  </si>
  <si>
    <t>ISO rated load (kg)</t>
  </si>
  <si>
    <t>IGNORE</t>
  </si>
  <si>
    <t>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</si>
</sst>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[$-F800]dddd\,\ mmmm\ dd\,\ yyyy"/>
  </numFmts>
  <fonts count="2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48"/>
      <name val="Arial"/>
      <family val="2"/>
    </font>
    <font>
      <sz val="6"/>
      <name val="Arial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i/>
      <sz val="10"/>
      <color indexed="12"/>
      <name val="Times New Roman"/>
      <family val="1"/>
    </font>
    <font>
      <i/>
      <sz val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10"/>
      <name val="Times New Roman"/>
      <family val="1"/>
    </font>
    <font>
      <sz val="8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</font>
    <font>
      <sz val="10"/>
      <color indexed="2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2" fontId="0" fillId="0" borderId="0" xfId="0" applyNumberFormat="1"/>
    <xf numFmtId="0" fontId="2" fillId="0" borderId="0" xfId="0" applyFont="1"/>
    <xf numFmtId="22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7" fillId="0" borderId="10" xfId="0" applyFont="1" applyBorder="1"/>
    <xf numFmtId="0" fontId="7" fillId="0" borderId="0" xfId="0" applyFont="1"/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1" xfId="0" applyFont="1" applyFill="1" applyBorder="1"/>
    <xf numFmtId="0" fontId="7" fillId="0" borderId="0" xfId="0" applyFont="1" applyBorder="1"/>
    <xf numFmtId="0" fontId="2" fillId="0" borderId="12" xfId="0" applyFont="1" applyBorder="1"/>
    <xf numFmtId="165" fontId="15" fillId="0" borderId="0" xfId="0" applyNumberFormat="1" applyFont="1" applyFill="1" applyBorder="1"/>
    <xf numFmtId="165" fontId="15" fillId="0" borderId="0" xfId="0" applyNumberFormat="1" applyFont="1" applyBorder="1"/>
    <xf numFmtId="0" fontId="15" fillId="3" borderId="4" xfId="0" applyFont="1" applyFill="1" applyBorder="1" applyProtection="1">
      <protection locked="0"/>
    </xf>
    <xf numFmtId="0" fontId="15" fillId="0" borderId="7" xfId="0" applyFont="1" applyBorder="1"/>
    <xf numFmtId="0" fontId="15" fillId="3" borderId="2" xfId="0" applyFont="1" applyFill="1" applyBorder="1" applyProtection="1">
      <protection locked="0"/>
    </xf>
    <xf numFmtId="22" fontId="15" fillId="3" borderId="2" xfId="0" applyNumberFormat="1" applyFont="1" applyFill="1" applyBorder="1" applyAlignment="1">
      <alignment horizontal="left"/>
    </xf>
    <xf numFmtId="166" fontId="15" fillId="0" borderId="7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15" fillId="7" borderId="7" xfId="0" applyFont="1" applyFill="1" applyBorder="1" applyAlignment="1">
      <alignment horizontal="center"/>
    </xf>
    <xf numFmtId="0" fontId="13" fillId="0" borderId="8" xfId="0" applyFont="1" applyBorder="1"/>
    <xf numFmtId="0" fontId="13" fillId="0" borderId="9" xfId="0" applyFont="1" applyBorder="1"/>
    <xf numFmtId="0" fontId="16" fillId="0" borderId="9" xfId="0" applyFont="1" applyBorder="1"/>
    <xf numFmtId="0" fontId="13" fillId="0" borderId="11" xfId="0" applyFont="1" applyBorder="1"/>
    <xf numFmtId="0" fontId="15" fillId="0" borderId="0" xfId="0" applyFont="1" applyBorder="1"/>
    <xf numFmtId="0" fontId="14" fillId="0" borderId="0" xfId="0" applyFont="1" applyBorder="1"/>
    <xf numFmtId="0" fontId="14" fillId="0" borderId="7" xfId="0" applyFont="1" applyBorder="1"/>
    <xf numFmtId="165" fontId="15" fillId="3" borderId="2" xfId="0" applyNumberFormat="1" applyFont="1" applyFill="1" applyBorder="1" applyProtection="1">
      <protection locked="0"/>
    </xf>
    <xf numFmtId="164" fontId="7" fillId="0" borderId="0" xfId="0" applyNumberFormat="1" applyFont="1"/>
    <xf numFmtId="0" fontId="7" fillId="8" borderId="0" xfId="0" applyFont="1" applyFill="1"/>
    <xf numFmtId="0" fontId="15" fillId="7" borderId="12" xfId="0" applyFont="1" applyFill="1" applyBorder="1" applyAlignment="1"/>
    <xf numFmtId="0" fontId="15" fillId="7" borderId="0" xfId="0" applyFont="1" applyFill="1" applyBorder="1" applyAlignment="1"/>
    <xf numFmtId="0" fontId="18" fillId="8" borderId="0" xfId="0" applyFont="1" applyFill="1"/>
    <xf numFmtId="165" fontId="7" fillId="8" borderId="0" xfId="0" applyNumberFormat="1" applyFont="1" applyFill="1"/>
    <xf numFmtId="165" fontId="15" fillId="4" borderId="4" xfId="0" applyNumberFormat="1" applyFont="1" applyFill="1" applyBorder="1"/>
    <xf numFmtId="165" fontId="15" fillId="4" borderId="2" xfId="0" applyNumberFormat="1" applyFont="1" applyFill="1" applyBorder="1"/>
    <xf numFmtId="165" fontId="14" fillId="0" borderId="0" xfId="0" applyNumberFormat="1" applyFont="1" applyBorder="1" applyAlignment="1">
      <alignment horizontal="left"/>
    </xf>
    <xf numFmtId="165" fontId="14" fillId="0" borderId="7" xfId="0" applyNumberFormat="1" applyFont="1" applyBorder="1" applyAlignment="1">
      <alignment horizontal="left"/>
    </xf>
    <xf numFmtId="0" fontId="7" fillId="8" borderId="0" xfId="0" applyFont="1" applyFill="1" applyBorder="1"/>
    <xf numFmtId="1" fontId="15" fillId="4" borderId="2" xfId="0" applyNumberFormat="1" applyFont="1" applyFill="1" applyBorder="1"/>
    <xf numFmtId="1" fontId="15" fillId="0" borderId="0" xfId="0" applyNumberFormat="1" applyFont="1" applyBorder="1"/>
    <xf numFmtId="1" fontId="7" fillId="8" borderId="0" xfId="0" applyNumberFormat="1" applyFont="1" applyFill="1"/>
    <xf numFmtId="1" fontId="15" fillId="4" borderId="2" xfId="0" applyNumberFormat="1" applyFont="1" applyFill="1" applyBorder="1" applyProtection="1"/>
    <xf numFmtId="1" fontId="7" fillId="8" borderId="0" xfId="0" applyNumberFormat="1" applyFont="1" applyFill="1" applyAlignment="1">
      <alignment horizontal="left" indent="6"/>
    </xf>
    <xf numFmtId="22" fontId="15" fillId="3" borderId="2" xfId="0" applyNumberFormat="1" applyFont="1" applyFill="1" applyBorder="1" applyAlignment="1" applyProtection="1">
      <alignment horizontal="left"/>
    </xf>
    <xf numFmtId="0" fontId="7" fillId="0" borderId="0" xfId="0" applyFont="1" applyProtection="1"/>
    <xf numFmtId="0" fontId="0" fillId="6" borderId="0" xfId="0" applyFill="1"/>
    <xf numFmtId="165" fontId="0" fillId="6" borderId="0" xfId="0" applyNumberFormat="1" applyFill="1"/>
    <xf numFmtId="0" fontId="7" fillId="6" borderId="0" xfId="0" applyFont="1" applyFill="1"/>
    <xf numFmtId="0" fontId="18" fillId="0" borderId="0" xfId="0" applyFont="1" applyAlignment="1">
      <alignment horizontal="right"/>
    </xf>
    <xf numFmtId="0" fontId="7" fillId="0" borderId="0" xfId="0" applyFont="1" applyFill="1"/>
    <xf numFmtId="0" fontId="15" fillId="3" borderId="2" xfId="0" applyFont="1" applyFill="1" applyBorder="1" applyProtection="1"/>
    <xf numFmtId="0" fontId="20" fillId="6" borderId="0" xfId="0" applyFont="1" applyFill="1"/>
    <xf numFmtId="0" fontId="18" fillId="0" borderId="0" xfId="0" applyFont="1"/>
    <xf numFmtId="165" fontId="7" fillId="0" borderId="0" xfId="0" applyNumberFormat="1" applyFont="1"/>
    <xf numFmtId="2" fontId="0" fillId="3" borderId="4" xfId="0" applyNumberFormat="1" applyFill="1" applyBorder="1" applyProtection="1">
      <protection locked="0"/>
    </xf>
    <xf numFmtId="0" fontId="22" fillId="0" borderId="0" xfId="0" applyFont="1"/>
    <xf numFmtId="2" fontId="22" fillId="0" borderId="0" xfId="0" applyNumberFormat="1" applyFont="1"/>
    <xf numFmtId="165" fontId="21" fillId="9" borderId="4" xfId="0" applyNumberFormat="1" applyFont="1" applyFill="1" applyBorder="1"/>
    <xf numFmtId="2" fontId="0" fillId="9" borderId="2" xfId="0" applyNumberFormat="1" applyFill="1" applyBorder="1"/>
    <xf numFmtId="2" fontId="0" fillId="9" borderId="3" xfId="0" applyNumberFormat="1" applyFill="1" applyBorder="1"/>
    <xf numFmtId="0" fontId="7" fillId="0" borderId="10" xfId="0" applyFont="1" applyBorder="1" applyProtection="1"/>
    <xf numFmtId="0" fontId="10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4" fillId="0" borderId="11" xfId="0" applyFont="1" applyFill="1" applyBorder="1" applyProtection="1"/>
    <xf numFmtId="0" fontId="7" fillId="0" borderId="0" xfId="0" applyFont="1" applyBorder="1" applyProtection="1"/>
    <xf numFmtId="0" fontId="2" fillId="0" borderId="12" xfId="0" applyFont="1" applyBorder="1" applyProtection="1"/>
    <xf numFmtId="165" fontId="15" fillId="0" borderId="0" xfId="0" applyNumberFormat="1" applyFont="1" applyFill="1" applyBorder="1" applyProtection="1"/>
    <xf numFmtId="165" fontId="15" fillId="0" borderId="0" xfId="0" applyNumberFormat="1" applyFont="1" applyBorder="1" applyProtection="1"/>
    <xf numFmtId="0" fontId="15" fillId="0" borderId="0" xfId="0" applyFont="1" applyBorder="1" applyProtection="1"/>
    <xf numFmtId="0" fontId="15" fillId="0" borderId="7" xfId="0" applyFont="1" applyBorder="1" applyProtection="1"/>
    <xf numFmtId="166" fontId="15" fillId="0" borderId="7" xfId="0" applyNumberFormat="1" applyFont="1" applyBorder="1" applyAlignment="1" applyProtection="1">
      <alignment horizontal="left"/>
    </xf>
    <xf numFmtId="14" fontId="7" fillId="0" borderId="0" xfId="0" applyNumberFormat="1" applyFont="1" applyBorder="1" applyAlignment="1" applyProtection="1">
      <alignment horizontal="left"/>
    </xf>
    <xf numFmtId="0" fontId="15" fillId="7" borderId="7" xfId="0" applyFont="1" applyFill="1" applyBorder="1" applyAlignment="1" applyProtection="1">
      <alignment horizontal="center"/>
    </xf>
    <xf numFmtId="0" fontId="13" fillId="0" borderId="8" xfId="0" applyFont="1" applyBorder="1" applyProtection="1"/>
    <xf numFmtId="0" fontId="13" fillId="0" borderId="9" xfId="0" applyFont="1" applyBorder="1" applyProtection="1"/>
    <xf numFmtId="0" fontId="16" fillId="0" borderId="9" xfId="0" applyFont="1" applyBorder="1" applyProtection="1"/>
    <xf numFmtId="0" fontId="13" fillId="0" borderId="11" xfId="0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164" fontId="7" fillId="0" borderId="0" xfId="0" applyNumberFormat="1" applyFont="1" applyProtection="1"/>
    <xf numFmtId="0" fontId="7" fillId="8" borderId="0" xfId="0" applyFont="1" applyFill="1" applyProtection="1"/>
    <xf numFmtId="0" fontId="18" fillId="8" borderId="0" xfId="0" applyFont="1" applyFill="1" applyProtection="1"/>
    <xf numFmtId="165" fontId="7" fillId="8" borderId="0" xfId="0" applyNumberFormat="1" applyFont="1" applyFill="1" applyProtection="1"/>
    <xf numFmtId="165" fontId="14" fillId="0" borderId="0" xfId="0" applyNumberFormat="1" applyFont="1" applyBorder="1" applyAlignment="1" applyProtection="1">
      <alignment horizontal="left"/>
    </xf>
    <xf numFmtId="165" fontId="14" fillId="0" borderId="7" xfId="0" applyNumberFormat="1" applyFont="1" applyBorder="1" applyAlignment="1" applyProtection="1">
      <alignment horizontal="left"/>
    </xf>
    <xf numFmtId="0" fontId="7" fillId="8" borderId="0" xfId="0" applyFont="1" applyFill="1" applyBorder="1" applyProtection="1"/>
    <xf numFmtId="1" fontId="15" fillId="0" borderId="0" xfId="0" applyNumberFormat="1" applyFont="1" applyBorder="1" applyProtection="1"/>
    <xf numFmtId="1" fontId="7" fillId="8" borderId="0" xfId="0" applyNumberFormat="1" applyFont="1" applyFill="1" applyAlignment="1" applyProtection="1">
      <alignment horizontal="left" indent="6"/>
    </xf>
    <xf numFmtId="22" fontId="15" fillId="3" borderId="2" xfId="0" applyNumberFormat="1" applyFont="1" applyFill="1" applyBorder="1" applyAlignment="1" applyProtection="1">
      <alignment horizontal="left"/>
      <protection locked="0"/>
    </xf>
    <xf numFmtId="165" fontId="15" fillId="9" borderId="4" xfId="0" applyNumberFormat="1" applyFont="1" applyFill="1" applyBorder="1" applyProtection="1"/>
    <xf numFmtId="165" fontId="15" fillId="9" borderId="2" xfId="0" applyNumberFormat="1" applyFont="1" applyFill="1" applyBorder="1" applyProtection="1"/>
    <xf numFmtId="1" fontId="7" fillId="9" borderId="2" xfId="0" applyNumberFormat="1" applyFont="1" applyFill="1" applyBorder="1" applyProtection="1"/>
    <xf numFmtId="1" fontId="15" fillId="9" borderId="2" xfId="0" applyNumberFormat="1" applyFont="1" applyFill="1" applyBorder="1" applyProtection="1"/>
    <xf numFmtId="0" fontId="15" fillId="3" borderId="7" xfId="0" applyFont="1" applyFill="1" applyBorder="1" applyProtection="1">
      <protection locked="0"/>
    </xf>
    <xf numFmtId="0" fontId="2" fillId="0" borderId="2" xfId="0" applyFont="1" applyBorder="1"/>
    <xf numFmtId="165" fontId="15" fillId="4" borderId="2" xfId="0" applyNumberFormat="1" applyFont="1" applyFill="1" applyBorder="1" applyProtection="1"/>
    <xf numFmtId="1" fontId="7" fillId="0" borderId="0" xfId="0" applyNumberFormat="1" applyFont="1"/>
    <xf numFmtId="0" fontId="7" fillId="4" borderId="0" xfId="0" applyFont="1" applyFill="1"/>
    <xf numFmtId="0" fontId="18" fillId="4" borderId="0" xfId="0" applyFont="1" applyFill="1"/>
    <xf numFmtId="165" fontId="7" fillId="4" borderId="0" xfId="0" applyNumberFormat="1" applyFont="1" applyFill="1"/>
    <xf numFmtId="1" fontId="7" fillId="4" borderId="0" xfId="0" applyNumberFormat="1" applyFont="1" applyFill="1"/>
    <xf numFmtId="0" fontId="6" fillId="4" borderId="0" xfId="0" applyFont="1" applyFill="1"/>
    <xf numFmtId="1" fontId="15" fillId="4" borderId="2" xfId="0" applyNumberFormat="1" applyFont="1" applyFill="1" applyBorder="1" applyProtection="1">
      <protection locked="0"/>
    </xf>
    <xf numFmtId="2" fontId="15" fillId="0" borderId="0" xfId="0" applyNumberFormat="1" applyFont="1" applyBorder="1"/>
    <xf numFmtId="2" fontId="15" fillId="4" borderId="2" xfId="0" applyNumberFormat="1" applyFont="1" applyFill="1" applyBorder="1"/>
    <xf numFmtId="0" fontId="7" fillId="0" borderId="0" xfId="0" applyFont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7" fillId="7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/>
    </xf>
    <xf numFmtId="0" fontId="7" fillId="7" borderId="1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5" fillId="7" borderId="12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7" borderId="12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7" fillId="7" borderId="13" xfId="0" applyFont="1" applyFill="1" applyBorder="1" applyAlignment="1" applyProtection="1">
      <alignment horizontal="center"/>
    </xf>
    <xf numFmtId="0" fontId="7" fillId="7" borderId="10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9" fillId="10" borderId="16" xfId="0" applyFont="1" applyFill="1" applyBorder="1" applyAlignment="1" applyProtection="1">
      <alignment horizontal="center"/>
    </xf>
    <xf numFmtId="0" fontId="9" fillId="10" borderId="17" xfId="0" applyFont="1" applyFill="1" applyBorder="1" applyAlignment="1" applyProtection="1">
      <alignment horizontal="center"/>
    </xf>
    <xf numFmtId="0" fontId="9" fillId="10" borderId="18" xfId="0" applyFont="1" applyFill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Idealised speed/time graph</a:t>
            </a:r>
          </a:p>
        </c:rich>
      </c:tx>
      <c:layout>
        <c:manualLayout>
          <c:xMode val="edge"/>
          <c:yMode val="edge"/>
          <c:x val="0.21136363636363636"/>
          <c:y val="3.649641540334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1818181818183"/>
          <c:y val="0.24817562474271632"/>
          <c:w val="0.79318181818181821"/>
          <c:h val="0.4963512494854326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'Lift dynamics'!$F$6:$F$11</c:f>
              <c:numCache>
                <c:formatCode>0.00</c:formatCode>
                <c:ptCount val="6"/>
                <c:pt idx="1">
                  <c:v>0</c:v>
                </c:pt>
                <c:pt idx="2">
                  <c:v>2.5126123556350324</c:v>
                </c:pt>
                <c:pt idx="3">
                  <c:v>2.5126123556350324</c:v>
                </c:pt>
                <c:pt idx="4">
                  <c:v>5.0252247112700648</c:v>
                </c:pt>
              </c:numCache>
            </c:numRef>
          </c:xVal>
          <c:yVal>
            <c:numRef>
              <c:f>'Lift dynamics'!$G$6:$G$11</c:f>
              <c:numCache>
                <c:formatCode>0.00</c:formatCode>
                <c:ptCount val="6"/>
                <c:pt idx="1">
                  <c:v>0</c:v>
                </c:pt>
                <c:pt idx="2">
                  <c:v>1.3133741034899771</c:v>
                </c:pt>
                <c:pt idx="3">
                  <c:v>1.3133741034899771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27968"/>
        <c:axId val="91430272"/>
      </c:scatterChart>
      <c:valAx>
        <c:axId val="91427968"/>
        <c:scaling>
          <c:orientation val="minMax"/>
        </c:scaling>
        <c:delete val="0"/>
        <c:axPos val="b"/>
        <c:majorGridlines>
          <c:spPr>
            <a:ln w="3175">
              <a:solidFill>
                <a:srgbClr val="FF99CC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(s)</a:t>
                </a:r>
              </a:p>
            </c:rich>
          </c:tx>
          <c:layout>
            <c:manualLayout>
              <c:xMode val="edge"/>
              <c:yMode val="edge"/>
              <c:x val="0.48863636363636365"/>
              <c:y val="0.8430671958171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30272"/>
        <c:crosses val="autoZero"/>
        <c:crossBetween val="midCat"/>
      </c:valAx>
      <c:valAx>
        <c:axId val="91430272"/>
        <c:scaling>
          <c:orientation val="minMax"/>
        </c:scaling>
        <c:delete val="0"/>
        <c:axPos val="l"/>
        <c:majorGridlines>
          <c:spPr>
            <a:ln w="3175">
              <a:solidFill>
                <a:srgbClr val="FF99CC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speed (m/s)</a:t>
                </a:r>
              </a:p>
            </c:rich>
          </c:tx>
          <c:layout>
            <c:manualLayout>
              <c:xMode val="edge"/>
              <c:yMode val="edge"/>
              <c:x val="3.6363636363636362E-2"/>
              <c:y val="0.34306630479140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27968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123825</xdr:rowOff>
    </xdr:from>
    <xdr:to>
      <xdr:col>11</xdr:col>
      <xdr:colOff>581025</xdr:colOff>
      <xdr:row>20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70" zoomScaleNormal="75" zoomScaleSheetLayoutView="50" workbookViewId="0">
      <selection activeCell="H9" sqref="H9"/>
    </sheetView>
  </sheetViews>
  <sheetFormatPr defaultRowHeight="12.75" x14ac:dyDescent="0.2"/>
  <cols>
    <col min="1" max="1" width="35.28515625" style="10" customWidth="1"/>
    <col min="2" max="2" width="6.7109375" style="10" customWidth="1"/>
    <col min="3" max="3" width="2.7109375" style="10" customWidth="1"/>
    <col min="4" max="4" width="55.7109375" style="10" customWidth="1"/>
    <col min="5" max="5" width="6" style="10" customWidth="1"/>
    <col min="6" max="6" width="6.7109375" style="10" customWidth="1"/>
    <col min="7" max="7" width="15.7109375" style="10" customWidth="1"/>
    <col min="8" max="16384" width="9.140625" style="10"/>
  </cols>
  <sheetData>
    <row r="1" spans="1:6" x14ac:dyDescent="0.2">
      <c r="A1" s="138"/>
      <c r="B1" s="139"/>
      <c r="C1" s="139"/>
      <c r="D1" s="139"/>
      <c r="E1" s="140"/>
      <c r="F1" s="9"/>
    </row>
    <row r="2" spans="1:6" ht="18.75" x14ac:dyDescent="0.3">
      <c r="A2" s="141" t="s">
        <v>174</v>
      </c>
      <c r="B2" s="142"/>
      <c r="C2" s="142"/>
      <c r="D2" s="142"/>
      <c r="E2" s="11"/>
      <c r="F2" s="12"/>
    </row>
    <row r="3" spans="1:6" x14ac:dyDescent="0.2">
      <c r="A3" s="143" t="s">
        <v>96</v>
      </c>
      <c r="B3" s="144"/>
      <c r="C3" s="144"/>
      <c r="D3" s="144"/>
      <c r="E3" s="14"/>
      <c r="F3" s="13"/>
    </row>
    <row r="4" spans="1:6" x14ac:dyDescent="0.2">
      <c r="A4" s="145" t="s">
        <v>14</v>
      </c>
      <c r="B4" s="146"/>
      <c r="C4" s="146"/>
      <c r="D4" s="146"/>
      <c r="E4" s="16"/>
      <c r="F4" s="15"/>
    </row>
    <row r="5" spans="1:6" x14ac:dyDescent="0.2">
      <c r="A5" s="147"/>
      <c r="B5" s="148"/>
      <c r="C5" s="148"/>
      <c r="D5" s="148"/>
      <c r="E5" s="17"/>
      <c r="F5" s="18"/>
    </row>
    <row r="6" spans="1:6" x14ac:dyDescent="0.2">
      <c r="A6" s="149" t="s">
        <v>15</v>
      </c>
      <c r="B6" s="150"/>
      <c r="C6" s="150"/>
      <c r="D6" s="150"/>
      <c r="E6" s="19" t="s">
        <v>192</v>
      </c>
      <c r="F6" s="20"/>
    </row>
    <row r="7" spans="1:6" x14ac:dyDescent="0.2">
      <c r="A7" s="21" t="s">
        <v>16</v>
      </c>
      <c r="B7" s="22"/>
      <c r="C7" s="23"/>
      <c r="D7" s="24" t="s">
        <v>13</v>
      </c>
      <c r="E7" s="25"/>
      <c r="F7" s="20"/>
    </row>
    <row r="8" spans="1:6" x14ac:dyDescent="0.2">
      <c r="A8" s="21" t="s">
        <v>17</v>
      </c>
      <c r="B8" s="22"/>
      <c r="C8" s="23"/>
      <c r="D8" s="26" t="s">
        <v>18</v>
      </c>
      <c r="E8" s="25"/>
      <c r="F8" s="20"/>
    </row>
    <row r="9" spans="1:6" x14ac:dyDescent="0.2">
      <c r="A9" s="21" t="s">
        <v>19</v>
      </c>
      <c r="B9" s="23"/>
      <c r="C9" s="23"/>
      <c r="D9" s="27">
        <f ca="1">NOW()</f>
        <v>42118.414575347226</v>
      </c>
      <c r="E9" s="28"/>
      <c r="F9" s="29"/>
    </row>
    <row r="10" spans="1:6" x14ac:dyDescent="0.2">
      <c r="A10" s="127"/>
      <c r="B10" s="128"/>
      <c r="C10" s="128"/>
      <c r="D10" s="128"/>
      <c r="E10" s="30"/>
      <c r="F10" s="18"/>
    </row>
    <row r="11" spans="1:6" x14ac:dyDescent="0.2">
      <c r="A11" s="31" t="s">
        <v>20</v>
      </c>
      <c r="B11" s="32" t="s">
        <v>21</v>
      </c>
      <c r="C11" s="33"/>
      <c r="D11" s="32" t="s">
        <v>22</v>
      </c>
      <c r="E11" s="34" t="s">
        <v>23</v>
      </c>
      <c r="F11" s="20"/>
    </row>
    <row r="12" spans="1:6" x14ac:dyDescent="0.2">
      <c r="A12" s="21" t="s">
        <v>24</v>
      </c>
      <c r="B12" s="24">
        <v>10</v>
      </c>
      <c r="C12" s="35"/>
      <c r="D12" s="36" t="s">
        <v>97</v>
      </c>
      <c r="E12" s="37" t="s">
        <v>25</v>
      </c>
      <c r="F12" s="20"/>
    </row>
    <row r="13" spans="1:6" x14ac:dyDescent="0.2">
      <c r="A13" s="21" t="s">
        <v>193</v>
      </c>
      <c r="B13" s="26">
        <v>1275</v>
      </c>
      <c r="C13" s="35"/>
      <c r="D13" s="36" t="s">
        <v>197</v>
      </c>
      <c r="E13" s="37" t="s">
        <v>26</v>
      </c>
      <c r="F13" s="20"/>
    </row>
    <row r="14" spans="1:6" x14ac:dyDescent="0.2">
      <c r="A14" s="21" t="s">
        <v>194</v>
      </c>
      <c r="B14" s="26">
        <v>13.8</v>
      </c>
      <c r="C14" s="35"/>
      <c r="D14" s="36" t="s">
        <v>28</v>
      </c>
      <c r="E14" s="37" t="s">
        <v>26</v>
      </c>
      <c r="F14" s="20"/>
    </row>
    <row r="15" spans="1:6" x14ac:dyDescent="0.2">
      <c r="A15" s="21" t="s">
        <v>29</v>
      </c>
      <c r="B15" s="38">
        <v>9.4</v>
      </c>
      <c r="C15" s="35"/>
      <c r="D15" s="36" t="s">
        <v>98</v>
      </c>
      <c r="E15" s="37" t="s">
        <v>30</v>
      </c>
      <c r="F15" s="20"/>
    </row>
    <row r="16" spans="1:6" x14ac:dyDescent="0.2">
      <c r="A16" s="21" t="s">
        <v>31</v>
      </c>
      <c r="B16" s="26">
        <v>5</v>
      </c>
      <c r="C16" s="35"/>
      <c r="D16" s="36" t="s">
        <v>99</v>
      </c>
      <c r="E16" s="37" t="s">
        <v>32</v>
      </c>
      <c r="F16" s="20"/>
    </row>
    <row r="17" spans="1:12" x14ac:dyDescent="0.2">
      <c r="A17" s="21" t="s">
        <v>33</v>
      </c>
      <c r="B17" s="26">
        <v>1.6</v>
      </c>
      <c r="C17" s="35"/>
      <c r="D17" s="36" t="s">
        <v>100</v>
      </c>
      <c r="E17" s="37" t="s">
        <v>34</v>
      </c>
      <c r="F17" s="20"/>
    </row>
    <row r="18" spans="1:12" x14ac:dyDescent="0.2">
      <c r="A18" s="21" t="s">
        <v>35</v>
      </c>
      <c r="B18" s="26">
        <v>800</v>
      </c>
      <c r="C18" s="35"/>
      <c r="D18" s="36" t="s">
        <v>101</v>
      </c>
      <c r="E18" s="37" t="s">
        <v>36</v>
      </c>
      <c r="F18" s="20"/>
      <c r="H18" s="39"/>
    </row>
    <row r="19" spans="1:12" x14ac:dyDescent="0.2">
      <c r="A19" s="21" t="s">
        <v>37</v>
      </c>
      <c r="B19" s="26">
        <v>3.3</v>
      </c>
      <c r="C19" s="35"/>
      <c r="D19" s="36" t="s">
        <v>102</v>
      </c>
      <c r="E19" s="37" t="s">
        <v>38</v>
      </c>
      <c r="F19" s="20"/>
    </row>
    <row r="20" spans="1:12" x14ac:dyDescent="0.2">
      <c r="A20" s="21" t="s">
        <v>39</v>
      </c>
      <c r="B20" s="26">
        <v>0</v>
      </c>
      <c r="C20" s="35"/>
      <c r="D20" s="36" t="s">
        <v>103</v>
      </c>
      <c r="E20" s="37" t="s">
        <v>40</v>
      </c>
      <c r="F20" s="20"/>
    </row>
    <row r="21" spans="1:12" x14ac:dyDescent="0.2">
      <c r="A21" s="21" t="s">
        <v>41</v>
      </c>
      <c r="B21" s="26">
        <v>0</v>
      </c>
      <c r="C21" s="35"/>
      <c r="D21" s="36" t="s">
        <v>104</v>
      </c>
      <c r="E21" s="37" t="s">
        <v>40</v>
      </c>
      <c r="F21" s="20"/>
    </row>
    <row r="22" spans="1:12" x14ac:dyDescent="0.2">
      <c r="A22" s="21" t="s">
        <v>42</v>
      </c>
      <c r="B22" s="26">
        <v>5</v>
      </c>
      <c r="C22" s="35"/>
      <c r="D22" s="36" t="s">
        <v>105</v>
      </c>
      <c r="E22" s="37" t="s">
        <v>34</v>
      </c>
      <c r="F22" s="20"/>
    </row>
    <row r="23" spans="1:12" x14ac:dyDescent="0.2">
      <c r="A23" s="21" t="s">
        <v>43</v>
      </c>
      <c r="B23" s="26">
        <v>3</v>
      </c>
      <c r="C23" s="35"/>
      <c r="D23" s="36" t="s">
        <v>106</v>
      </c>
      <c r="E23" s="37" t="s">
        <v>44</v>
      </c>
      <c r="F23" s="20"/>
    </row>
    <row r="24" spans="1:12" x14ac:dyDescent="0.2">
      <c r="A24" s="21" t="s">
        <v>45</v>
      </c>
      <c r="B24" s="26">
        <v>1.8</v>
      </c>
      <c r="C24" s="35"/>
      <c r="D24" s="36" t="s">
        <v>107</v>
      </c>
      <c r="E24" s="37" t="s">
        <v>44</v>
      </c>
      <c r="F24" s="20"/>
    </row>
    <row r="25" spans="1:12" x14ac:dyDescent="0.2">
      <c r="A25" s="21" t="s">
        <v>46</v>
      </c>
      <c r="B25" s="26">
        <v>0.5</v>
      </c>
      <c r="C25" s="35"/>
      <c r="D25" s="36" t="s">
        <v>108</v>
      </c>
      <c r="E25" s="37" t="s">
        <v>44</v>
      </c>
      <c r="F25" s="20"/>
    </row>
    <row r="26" spans="1:12" x14ac:dyDescent="0.2">
      <c r="A26" s="21" t="s">
        <v>47</v>
      </c>
      <c r="B26" s="26">
        <v>0.5</v>
      </c>
      <c r="C26" s="35"/>
      <c r="D26" s="36" t="s">
        <v>109</v>
      </c>
      <c r="E26" s="37" t="s">
        <v>48</v>
      </c>
      <c r="F26" s="20"/>
      <c r="G26" s="40" t="s">
        <v>49</v>
      </c>
    </row>
    <row r="27" spans="1:12" x14ac:dyDescent="0.2">
      <c r="A27" s="21" t="s">
        <v>50</v>
      </c>
      <c r="B27" s="26">
        <v>1.2</v>
      </c>
      <c r="C27" s="35"/>
      <c r="D27" s="36" t="s">
        <v>110</v>
      </c>
      <c r="E27" s="37" t="s">
        <v>51</v>
      </c>
      <c r="F27" s="20"/>
      <c r="G27" s="40"/>
      <c r="H27" s="40"/>
      <c r="I27" s="40"/>
      <c r="J27" s="40"/>
      <c r="K27" s="40"/>
      <c r="L27" s="40"/>
    </row>
    <row r="28" spans="1:12" x14ac:dyDescent="0.2">
      <c r="A28" s="41"/>
      <c r="B28" s="42"/>
      <c r="C28" s="42"/>
      <c r="D28" s="42"/>
      <c r="E28" s="30"/>
      <c r="F28" s="18"/>
      <c r="G28" s="40" t="s">
        <v>52</v>
      </c>
      <c r="H28" s="40" t="s">
        <v>53</v>
      </c>
      <c r="I28" s="40" t="s">
        <v>54</v>
      </c>
      <c r="J28" s="43" t="s">
        <v>55</v>
      </c>
      <c r="K28" s="43" t="s">
        <v>56</v>
      </c>
      <c r="L28" s="40"/>
    </row>
    <row r="29" spans="1:12" x14ac:dyDescent="0.2">
      <c r="A29" s="31" t="s">
        <v>57</v>
      </c>
      <c r="B29" s="32" t="s">
        <v>21</v>
      </c>
      <c r="C29" s="33"/>
      <c r="D29" s="32" t="s">
        <v>22</v>
      </c>
      <c r="E29" s="34" t="s">
        <v>23</v>
      </c>
      <c r="F29" s="20"/>
      <c r="G29" s="40">
        <f>B19/B17</f>
        <v>2.0624999999999996</v>
      </c>
      <c r="H29" s="40">
        <f>B22+B23+B24+B26-B25</f>
        <v>9.8000000000000007</v>
      </c>
      <c r="I29" s="40">
        <f>H29-G29</f>
        <v>7.7375000000000007</v>
      </c>
      <c r="J29" s="44">
        <f>B12-(((B12-1)/B12)^B15+((B12-2)/B12)^B15+((B12-3)/B12)^B15+((B12-4)/B12)^B15+((B12-5)/B12)^B15+((B12-6)/B12)^B15+((B12-7)/B12)^B15+((B12-8)/B12)^B15)</f>
        <v>9.460933086056178</v>
      </c>
      <c r="K29" s="44">
        <f>B12*(1-(((B12-1)/B12)^B15))</f>
        <v>6.2856776743978422</v>
      </c>
      <c r="L29" s="40"/>
    </row>
    <row r="30" spans="1:12" x14ac:dyDescent="0.2">
      <c r="A30" s="21" t="s">
        <v>58</v>
      </c>
      <c r="B30" s="45">
        <f>B15</f>
        <v>9.4</v>
      </c>
      <c r="C30" s="35"/>
      <c r="D30" s="36" t="s">
        <v>111</v>
      </c>
      <c r="E30" s="37" t="s">
        <v>30</v>
      </c>
      <c r="F30" s="20"/>
      <c r="G30" s="40"/>
      <c r="H30" s="40"/>
      <c r="I30" s="40"/>
      <c r="J30" s="44"/>
      <c r="K30" s="44"/>
      <c r="L30" s="40"/>
    </row>
    <row r="31" spans="1:12" x14ac:dyDescent="0.2">
      <c r="A31" s="21" t="s">
        <v>59</v>
      </c>
      <c r="B31" s="122">
        <f>J31</f>
        <v>9.4611272189485316</v>
      </c>
      <c r="C31" s="35"/>
      <c r="D31" s="47" t="s">
        <v>112</v>
      </c>
      <c r="E31" s="48" t="s">
        <v>60</v>
      </c>
      <c r="F31" s="20"/>
      <c r="G31" s="40"/>
      <c r="H31" s="40"/>
      <c r="I31" s="40" t="s">
        <v>61</v>
      </c>
      <c r="J31" s="44">
        <f>B12-(((B12-1)/B12)^B15+((B12-2)/B12)^B15+((B12-3)/B12)^B15+((B12-4)/B12)^B15+((B12-5)/B12)^B15)</f>
        <v>9.4611272189485316</v>
      </c>
      <c r="K31" s="44">
        <f>B12*(1-(((B12-1)/B12)^(0.8*B13)))</f>
        <v>10</v>
      </c>
      <c r="L31" s="40" t="s">
        <v>62</v>
      </c>
    </row>
    <row r="32" spans="1:12" x14ac:dyDescent="0.2">
      <c r="A32" s="21" t="s">
        <v>63</v>
      </c>
      <c r="B32" s="122">
        <f>K29</f>
        <v>6.2856776743978422</v>
      </c>
      <c r="C32" s="35"/>
      <c r="D32" s="36" t="s">
        <v>113</v>
      </c>
      <c r="E32" s="37" t="s">
        <v>64</v>
      </c>
      <c r="F32" s="20"/>
      <c r="G32" s="43" t="s">
        <v>65</v>
      </c>
      <c r="H32" s="43"/>
      <c r="I32" s="43"/>
      <c r="J32" s="44">
        <f>B12-(((B12-1)/B12)^(0.8*B13)+((B12-2)/B12)^(0.8*B13)+((B12-3)/B12)^(0.8*B13)+((B12-4)/B12)^(0.8*B13)+((B12-5)/B12)^(0.8*B13))</f>
        <v>10</v>
      </c>
      <c r="K32" s="44" t="s">
        <v>66</v>
      </c>
      <c r="L32" s="43"/>
    </row>
    <row r="33" spans="1:12" x14ac:dyDescent="0.2">
      <c r="A33" s="21" t="s">
        <v>67</v>
      </c>
      <c r="B33" s="46">
        <f>H29</f>
        <v>9.8000000000000007</v>
      </c>
      <c r="C33" s="35"/>
      <c r="D33" s="36" t="s">
        <v>114</v>
      </c>
      <c r="E33" s="37" t="s">
        <v>68</v>
      </c>
      <c r="F33" s="20"/>
      <c r="G33" s="44">
        <f>(2*J31*G29)+((K29+1)*I29)+(2*B15*B27)+2*B21</f>
        <v>117.960080783816</v>
      </c>
      <c r="H33" s="44" t="s">
        <v>69</v>
      </c>
      <c r="I33" s="40"/>
      <c r="J33" s="44"/>
      <c r="K33" s="44"/>
      <c r="L33" s="40"/>
    </row>
    <row r="34" spans="1:12" x14ac:dyDescent="0.2">
      <c r="A34" s="21" t="s">
        <v>70</v>
      </c>
      <c r="B34" s="46">
        <f>G33</f>
        <v>117.960080783816</v>
      </c>
      <c r="C34" s="23"/>
      <c r="D34" s="36" t="s">
        <v>115</v>
      </c>
      <c r="E34" s="37" t="s">
        <v>71</v>
      </c>
      <c r="F34" s="20"/>
      <c r="G34" s="44">
        <f>(2*J32*G29)+((K31+1)*I29)+(2*0.8*B13*B27)+2*B21</f>
        <v>2574.3625000000002</v>
      </c>
      <c r="H34" s="40" t="s">
        <v>72</v>
      </c>
      <c r="I34" s="40" t="s">
        <v>198</v>
      </c>
      <c r="J34" s="40" t="s">
        <v>199</v>
      </c>
      <c r="K34" s="40"/>
      <c r="L34" s="40"/>
    </row>
    <row r="35" spans="1:12" x14ac:dyDescent="0.2">
      <c r="A35" s="21" t="s">
        <v>73</v>
      </c>
      <c r="B35" s="46">
        <f>B34/B16</f>
        <v>23.592016156763201</v>
      </c>
      <c r="C35" s="23"/>
      <c r="D35" s="36" t="s">
        <v>116</v>
      </c>
      <c r="E35" s="37" t="s">
        <v>74</v>
      </c>
      <c r="F35" s="20"/>
      <c r="G35" s="49"/>
      <c r="H35" s="44">
        <f>G34/B16</f>
        <v>514.87250000000006</v>
      </c>
      <c r="I35" s="40" t="s">
        <v>75</v>
      </c>
      <c r="J35" s="40"/>
      <c r="K35" s="40"/>
      <c r="L35" s="40"/>
    </row>
    <row r="36" spans="1:12" x14ac:dyDescent="0.2">
      <c r="A36" s="21" t="s">
        <v>76</v>
      </c>
      <c r="B36" s="50">
        <f>300*B15/B35</f>
        <v>119.53196290057564</v>
      </c>
      <c r="C36" s="23"/>
      <c r="D36" s="36" t="s">
        <v>117</v>
      </c>
      <c r="E36" s="37" t="s">
        <v>77</v>
      </c>
      <c r="F36" s="20"/>
      <c r="G36" s="44">
        <f>(0.4+((1.8*B15/B14)-0.77)^2)*B35</f>
        <v>14.344307062122745</v>
      </c>
      <c r="H36" s="40" t="s">
        <v>78</v>
      </c>
      <c r="I36" s="40"/>
      <c r="J36" s="40"/>
      <c r="K36" s="40"/>
      <c r="L36" s="40"/>
    </row>
    <row r="37" spans="1:12" x14ac:dyDescent="0.2">
      <c r="A37" s="21" t="s">
        <v>79</v>
      </c>
      <c r="B37" s="46">
        <f>(B36/B18)*100</f>
        <v>14.941495362571954</v>
      </c>
      <c r="C37" s="51"/>
      <c r="D37" s="36" t="s">
        <v>118</v>
      </c>
      <c r="E37" s="37" t="s">
        <v>80</v>
      </c>
      <c r="F37" s="20"/>
      <c r="G37" s="40"/>
      <c r="H37" s="40"/>
      <c r="I37" s="40"/>
      <c r="J37" s="40"/>
      <c r="K37" s="40"/>
      <c r="L37" s="40"/>
    </row>
    <row r="38" spans="1:12" x14ac:dyDescent="0.2">
      <c r="A38" s="21" t="s">
        <v>81</v>
      </c>
      <c r="B38" s="50">
        <f>100*B15/B14</f>
        <v>68.115942028985501</v>
      </c>
      <c r="C38" s="51"/>
      <c r="D38" s="36" t="s">
        <v>119</v>
      </c>
      <c r="E38" s="37" t="s">
        <v>26</v>
      </c>
      <c r="F38" s="20"/>
      <c r="G38" s="40" t="s">
        <v>82</v>
      </c>
      <c r="H38" s="40"/>
      <c r="I38" s="40" t="s">
        <v>83</v>
      </c>
      <c r="J38" s="40"/>
      <c r="K38" s="40"/>
      <c r="L38" s="40"/>
    </row>
    <row r="39" spans="1:12" x14ac:dyDescent="0.2">
      <c r="A39" s="21" t="s">
        <v>84</v>
      </c>
      <c r="B39" s="50">
        <f>G36</f>
        <v>14.344307062122745</v>
      </c>
      <c r="C39" s="51"/>
      <c r="D39" s="36" t="s">
        <v>120</v>
      </c>
      <c r="E39" s="37" t="s">
        <v>85</v>
      </c>
      <c r="F39" s="20"/>
      <c r="G39" s="44">
        <f>B12*(B19/B17)+(K29/2+1)*(B33-B19/B17)+2*B15*B27+2*B21</f>
        <v>75.240215502826658</v>
      </c>
      <c r="H39" s="40" t="s">
        <v>86</v>
      </c>
      <c r="I39" s="52">
        <f>600*B16*B15/(2*B31*G29+2*B32*I29+4*B15*B27+2*B21)</f>
        <v>155.44211802257723</v>
      </c>
      <c r="J39" s="40" t="s">
        <v>87</v>
      </c>
      <c r="K39" s="40"/>
      <c r="L39" s="40"/>
    </row>
    <row r="40" spans="1:12" x14ac:dyDescent="0.2">
      <c r="A40" s="21" t="s">
        <v>88</v>
      </c>
      <c r="B40" s="50">
        <f>G43</f>
        <v>187.39978222776733</v>
      </c>
      <c r="C40" s="51"/>
      <c r="D40" s="36" t="s">
        <v>121</v>
      </c>
      <c r="E40" s="37" t="s">
        <v>89</v>
      </c>
      <c r="F40" s="20"/>
      <c r="G40" s="44"/>
      <c r="H40" s="40"/>
      <c r="I40" s="40"/>
      <c r="J40" s="40"/>
      <c r="K40" s="40"/>
      <c r="L40" s="40"/>
    </row>
    <row r="41" spans="1:12" x14ac:dyDescent="0.2">
      <c r="A41" s="21" t="s">
        <v>90</v>
      </c>
      <c r="B41" s="53">
        <f>I39</f>
        <v>155.44211802257723</v>
      </c>
      <c r="C41" s="51"/>
      <c r="D41" s="36" t="s">
        <v>122</v>
      </c>
      <c r="E41" s="37" t="s">
        <v>91</v>
      </c>
      <c r="F41" s="20"/>
      <c r="G41" s="44"/>
      <c r="H41" s="40"/>
      <c r="I41" s="40"/>
      <c r="J41" s="40"/>
      <c r="K41" s="40"/>
      <c r="L41" s="40"/>
    </row>
    <row r="42" spans="1:12" x14ac:dyDescent="0.2">
      <c r="A42" s="127"/>
      <c r="B42" s="128"/>
      <c r="C42" s="128"/>
      <c r="D42" s="128"/>
      <c r="E42" s="30"/>
      <c r="F42" s="18"/>
      <c r="G42" s="44">
        <f>G39/B16</f>
        <v>15.048043100565332</v>
      </c>
      <c r="H42" s="40" t="s">
        <v>92</v>
      </c>
      <c r="I42" s="40"/>
      <c r="J42" s="40"/>
      <c r="K42" s="40"/>
      <c r="L42" s="40"/>
    </row>
    <row r="43" spans="1:12" x14ac:dyDescent="0.2">
      <c r="A43" s="135" t="s">
        <v>93</v>
      </c>
      <c r="B43" s="136"/>
      <c r="C43" s="136"/>
      <c r="D43" s="136"/>
      <c r="E43" s="137"/>
      <c r="F43" s="20"/>
      <c r="G43" s="54">
        <f>300*B15/G42</f>
        <v>187.39978222776733</v>
      </c>
      <c r="H43" s="40" t="s">
        <v>94</v>
      </c>
      <c r="I43" s="40"/>
      <c r="J43" s="40"/>
      <c r="K43" s="40"/>
      <c r="L43" s="40"/>
    </row>
    <row r="44" spans="1:12" x14ac:dyDescent="0.2">
      <c r="A44" s="129"/>
      <c r="B44" s="130"/>
      <c r="C44" s="130"/>
      <c r="D44" s="130"/>
      <c r="E44" s="131"/>
      <c r="F44" s="20"/>
    </row>
    <row r="45" spans="1:12" x14ac:dyDescent="0.2">
      <c r="A45" s="132"/>
      <c r="B45" s="133"/>
      <c r="C45" s="133"/>
      <c r="D45" s="133"/>
      <c r="E45" s="134"/>
      <c r="F45" s="20"/>
    </row>
    <row r="46" spans="1:12" x14ac:dyDescent="0.2">
      <c r="A46" s="124"/>
      <c r="B46" s="125"/>
      <c r="C46" s="125"/>
      <c r="D46" s="125"/>
      <c r="E46" s="126"/>
      <c r="F46" s="20"/>
    </row>
    <row r="47" spans="1:12" x14ac:dyDescent="0.2">
      <c r="A47" s="123" t="s">
        <v>95</v>
      </c>
      <c r="B47" s="123"/>
      <c r="C47" s="123"/>
      <c r="D47" s="123"/>
      <c r="E47" s="123"/>
    </row>
    <row r="55" hidden="1" x14ac:dyDescent="0.2"/>
  </sheetData>
  <sheetProtection selectLockedCells="1"/>
  <mergeCells count="13">
    <mergeCell ref="A1:E1"/>
    <mergeCell ref="A2:D2"/>
    <mergeCell ref="A3:D3"/>
    <mergeCell ref="A4:D4"/>
    <mergeCell ref="A10:D10"/>
    <mergeCell ref="A5:D5"/>
    <mergeCell ref="A6:D6"/>
    <mergeCell ref="A47:E47"/>
    <mergeCell ref="A46:E46"/>
    <mergeCell ref="A42:D42"/>
    <mergeCell ref="A44:E44"/>
    <mergeCell ref="A45:E45"/>
    <mergeCell ref="A43:E43"/>
  </mergeCells>
  <phoneticPr fontId="1" type="noConversion"/>
  <dataValidations count="6">
    <dataValidation type="decimal" allowBlank="1" showInputMessage="1" showErrorMessage="1" error="Number to be between 5 and 20" sqref="B14">
      <formula1>5</formula1>
      <formula2>20</formula2>
    </dataValidation>
    <dataValidation allowBlank="1" showInputMessage="1" showErrorMessage="1" error="Number to be integer number between 5 and 20." sqref="B15"/>
    <dataValidation allowBlank="1" showInputMessage="1" showErrorMessage="1" error="Number to be between 5 and 20" sqref="B13"/>
    <dataValidation type="whole" operator="lessThan" allowBlank="1" showInputMessage="1" showErrorMessage="1" sqref="B30:B40">
      <formula1>-10000</formula1>
    </dataValidation>
    <dataValidation type="whole" allowBlank="1" showInputMessage="1" showErrorMessage="1" error="Number to be between 5 and 20" sqref="B12">
      <formula1>5</formula1>
      <formula2>24</formula2>
    </dataValidation>
    <dataValidation operator="equal" allowBlank="1" showInputMessage="1" showErrorMessage="1" sqref="B41"/>
  </dataValidations>
  <printOptions horizontalCentered="1" verticalCentered="1" gridLines="1"/>
  <pageMargins left="0.59055118110236227" right="0.59055118110236227" top="0.59055118110236227" bottom="0.59055118110236227" header="0" footer="0"/>
  <pageSetup paperSize="9" scale="88" fitToWidth="0" orientation="landscape" r:id="rId1"/>
  <headerFooter alignWithMargins="0"/>
  <colBreaks count="2" manualBreakCount="2">
    <brk id="5" max="47" man="1"/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70" zoomScaleNormal="75" zoomScaleSheetLayoutView="50" workbookViewId="0">
      <selection activeCell="D7" sqref="D7"/>
    </sheetView>
  </sheetViews>
  <sheetFormatPr defaultRowHeight="12.75" x14ac:dyDescent="0.2"/>
  <cols>
    <col min="1" max="1" width="35.28515625" style="10" customWidth="1"/>
    <col min="2" max="2" width="7.140625" style="10" customWidth="1"/>
    <col min="3" max="3" width="2.7109375" style="10" customWidth="1"/>
    <col min="4" max="4" width="55.7109375" style="10" customWidth="1"/>
    <col min="5" max="5" width="6" style="10" customWidth="1"/>
    <col min="6" max="6" width="6.7109375" style="10" customWidth="1"/>
    <col min="7" max="7" width="14.5703125" style="10" customWidth="1"/>
    <col min="8" max="8" width="9.140625" style="10"/>
    <col min="9" max="9" width="10.85546875" style="10" customWidth="1"/>
    <col min="10" max="16384" width="9.140625" style="10"/>
  </cols>
  <sheetData>
    <row r="1" spans="1:10" x14ac:dyDescent="0.2">
      <c r="A1" s="138"/>
      <c r="B1" s="139"/>
      <c r="C1" s="139"/>
      <c r="D1" s="139"/>
      <c r="E1" s="140"/>
      <c r="F1" s="9"/>
    </row>
    <row r="2" spans="1:10" ht="18.75" x14ac:dyDescent="0.3">
      <c r="A2" s="151" t="s">
        <v>173</v>
      </c>
      <c r="B2" s="152"/>
      <c r="C2" s="152"/>
      <c r="D2" s="152"/>
      <c r="E2" s="11"/>
      <c r="F2" s="12"/>
    </row>
    <row r="3" spans="1:10" x14ac:dyDescent="0.2">
      <c r="A3" s="143" t="s">
        <v>96</v>
      </c>
      <c r="B3" s="144"/>
      <c r="C3" s="144"/>
      <c r="D3" s="144"/>
      <c r="E3" s="14"/>
      <c r="F3" s="13"/>
    </row>
    <row r="4" spans="1:10" x14ac:dyDescent="0.2">
      <c r="A4" s="145" t="s">
        <v>14</v>
      </c>
      <c r="B4" s="146"/>
      <c r="C4" s="146"/>
      <c r="D4" s="146"/>
      <c r="E4" s="16"/>
      <c r="F4" s="15"/>
    </row>
    <row r="5" spans="1:10" x14ac:dyDescent="0.2">
      <c r="A5" s="147"/>
      <c r="B5" s="148"/>
      <c r="C5" s="148"/>
      <c r="D5" s="148"/>
      <c r="E5" s="17"/>
      <c r="F5" s="18"/>
      <c r="G5"/>
      <c r="H5"/>
    </row>
    <row r="6" spans="1:10" x14ac:dyDescent="0.2">
      <c r="A6" s="149" t="s">
        <v>15</v>
      </c>
      <c r="B6" s="150"/>
      <c r="C6" s="150"/>
      <c r="D6" s="150"/>
      <c r="E6" s="19" t="s">
        <v>192</v>
      </c>
      <c r="F6" s="20"/>
      <c r="G6"/>
      <c r="H6"/>
    </row>
    <row r="7" spans="1:10" x14ac:dyDescent="0.2">
      <c r="A7" s="21" t="s">
        <v>16</v>
      </c>
      <c r="B7" s="22"/>
      <c r="C7" s="23"/>
      <c r="D7" s="24" t="s">
        <v>123</v>
      </c>
      <c r="E7" s="25"/>
      <c r="F7" s="20"/>
      <c r="G7"/>
      <c r="H7"/>
    </row>
    <row r="8" spans="1:10" x14ac:dyDescent="0.2">
      <c r="A8" s="21" t="s">
        <v>17</v>
      </c>
      <c r="B8" s="22"/>
      <c r="C8" s="23"/>
      <c r="D8" s="26" t="s">
        <v>124</v>
      </c>
      <c r="E8" s="25"/>
      <c r="F8" s="20"/>
      <c r="G8"/>
      <c r="H8" s="5"/>
    </row>
    <row r="9" spans="1:10" x14ac:dyDescent="0.2">
      <c r="A9" s="21" t="s">
        <v>19</v>
      </c>
      <c r="B9" s="23"/>
      <c r="C9" s="23"/>
      <c r="D9" s="55">
        <f ca="1">NOW()</f>
        <v>42118.414575347226</v>
      </c>
      <c r="E9" s="28"/>
      <c r="F9" s="29"/>
      <c r="G9"/>
      <c r="H9" s="5"/>
      <c r="J9" s="56"/>
    </row>
    <row r="10" spans="1:10" x14ac:dyDescent="0.2">
      <c r="A10" s="127"/>
      <c r="B10" s="128"/>
      <c r="C10" s="128"/>
      <c r="D10" s="128"/>
      <c r="E10" s="30"/>
      <c r="F10" s="18"/>
      <c r="G10"/>
      <c r="H10" s="5"/>
    </row>
    <row r="11" spans="1:10" x14ac:dyDescent="0.2">
      <c r="A11" s="31" t="s">
        <v>20</v>
      </c>
      <c r="B11" s="32" t="s">
        <v>21</v>
      </c>
      <c r="C11" s="33"/>
      <c r="D11" s="32" t="s">
        <v>22</v>
      </c>
      <c r="E11" s="34" t="s">
        <v>23</v>
      </c>
      <c r="F11" s="20"/>
      <c r="G11"/>
      <c r="H11" s="5"/>
    </row>
    <row r="12" spans="1:10" x14ac:dyDescent="0.2">
      <c r="A12" s="21" t="s">
        <v>24</v>
      </c>
      <c r="B12" s="24">
        <v>24</v>
      </c>
      <c r="C12" s="35"/>
      <c r="D12" s="36" t="s">
        <v>97</v>
      </c>
      <c r="E12" s="37" t="s">
        <v>25</v>
      </c>
      <c r="F12" s="20"/>
      <c r="G12"/>
      <c r="H12" s="5"/>
    </row>
    <row r="13" spans="1:10" x14ac:dyDescent="0.2">
      <c r="A13" s="21" t="s">
        <v>125</v>
      </c>
      <c r="B13" s="26">
        <v>3</v>
      </c>
      <c r="C13" s="35"/>
      <c r="D13" s="36" t="s">
        <v>146</v>
      </c>
      <c r="E13" s="37" t="s">
        <v>126</v>
      </c>
      <c r="F13" s="20"/>
      <c r="G13"/>
      <c r="H13" s="5"/>
    </row>
    <row r="14" spans="1:10" x14ac:dyDescent="0.2">
      <c r="A14" s="21" t="s">
        <v>195</v>
      </c>
      <c r="B14" s="26">
        <v>800</v>
      </c>
      <c r="C14" s="35"/>
      <c r="D14" s="36" t="s">
        <v>196</v>
      </c>
      <c r="E14" s="37" t="s">
        <v>26</v>
      </c>
      <c r="F14" s="20"/>
      <c r="G14"/>
      <c r="H14"/>
    </row>
    <row r="15" spans="1:10" x14ac:dyDescent="0.2">
      <c r="A15" s="21" t="s">
        <v>27</v>
      </c>
      <c r="B15" s="38">
        <v>12</v>
      </c>
      <c r="C15" s="35"/>
      <c r="D15" s="36" t="s">
        <v>28</v>
      </c>
      <c r="E15" s="37" t="s">
        <v>26</v>
      </c>
      <c r="F15" s="20"/>
      <c r="G15" s="57" t="s">
        <v>127</v>
      </c>
      <c r="H15" s="58"/>
    </row>
    <row r="16" spans="1:10" x14ac:dyDescent="0.2">
      <c r="A16" s="21" t="s">
        <v>29</v>
      </c>
      <c r="B16" s="38">
        <v>9.1</v>
      </c>
      <c r="C16" s="35"/>
      <c r="D16" s="36" t="s">
        <v>98</v>
      </c>
      <c r="E16" s="37" t="s">
        <v>30</v>
      </c>
      <c r="F16" s="20"/>
      <c r="G16" s="59"/>
      <c r="H16" s="59"/>
    </row>
    <row r="17" spans="1:14" x14ac:dyDescent="0.2">
      <c r="A17" s="21" t="s">
        <v>128</v>
      </c>
      <c r="B17" s="38">
        <v>56</v>
      </c>
      <c r="C17" s="35"/>
      <c r="D17" s="36" t="s">
        <v>129</v>
      </c>
      <c r="E17" s="37" t="s">
        <v>126</v>
      </c>
      <c r="F17" s="20"/>
      <c r="G17" s="57" t="s">
        <v>130</v>
      </c>
      <c r="H17" s="57">
        <f>B16*B17/100</f>
        <v>5.0960000000000001</v>
      </c>
    </row>
    <row r="18" spans="1:14" x14ac:dyDescent="0.2">
      <c r="A18" s="21" t="s">
        <v>31</v>
      </c>
      <c r="B18" s="26">
        <v>4</v>
      </c>
      <c r="C18" s="35"/>
      <c r="D18" s="36" t="s">
        <v>99</v>
      </c>
      <c r="E18" s="37" t="s">
        <v>32</v>
      </c>
      <c r="F18" s="20"/>
      <c r="G18" s="57" t="s">
        <v>131</v>
      </c>
      <c r="H18" s="57">
        <f>B13</f>
        <v>3</v>
      </c>
    </row>
    <row r="19" spans="1:14" x14ac:dyDescent="0.2">
      <c r="A19" s="21" t="s">
        <v>33</v>
      </c>
      <c r="B19" s="26">
        <v>1.6</v>
      </c>
      <c r="C19" s="35"/>
      <c r="D19" s="36" t="s">
        <v>100</v>
      </c>
      <c r="E19" s="37" t="s">
        <v>34</v>
      </c>
      <c r="F19" s="20"/>
      <c r="G19" s="57" t="s">
        <v>132</v>
      </c>
      <c r="H19" s="57">
        <v>1</v>
      </c>
    </row>
    <row r="20" spans="1:14" x14ac:dyDescent="0.2">
      <c r="A20" s="21" t="s">
        <v>35</v>
      </c>
      <c r="B20" s="26">
        <v>440</v>
      </c>
      <c r="C20" s="35"/>
      <c r="D20" s="36" t="s">
        <v>101</v>
      </c>
      <c r="E20" s="37" t="s">
        <v>36</v>
      </c>
      <c r="F20" s="20"/>
      <c r="G20" s="57" t="s">
        <v>133</v>
      </c>
      <c r="H20" s="58">
        <f>H18-(1/H18)^H17</f>
        <v>2.9962966898459573</v>
      </c>
      <c r="I20" s="60" t="s">
        <v>134</v>
      </c>
      <c r="J20" s="10">
        <f>B22/B19</f>
        <v>1.6875</v>
      </c>
    </row>
    <row r="21" spans="1:14" x14ac:dyDescent="0.2">
      <c r="A21" s="21" t="s">
        <v>37</v>
      </c>
      <c r="B21" s="26">
        <v>3.8</v>
      </c>
      <c r="C21" s="35"/>
      <c r="D21" s="36" t="s">
        <v>102</v>
      </c>
      <c r="E21" s="37" t="s">
        <v>38</v>
      </c>
      <c r="F21" s="20"/>
      <c r="G21" s="57" t="s">
        <v>135</v>
      </c>
      <c r="H21" s="58">
        <f>H20-(2/H18)^H17</f>
        <v>2.8696368472874507</v>
      </c>
      <c r="J21" s="61"/>
    </row>
    <row r="22" spans="1:14" x14ac:dyDescent="0.2">
      <c r="A22" s="21" t="s">
        <v>136</v>
      </c>
      <c r="B22" s="26">
        <v>2.7</v>
      </c>
      <c r="C22" s="35"/>
      <c r="D22" s="36" t="s">
        <v>137</v>
      </c>
      <c r="E22" s="37" t="s">
        <v>126</v>
      </c>
      <c r="F22" s="20"/>
      <c r="G22" s="57"/>
      <c r="H22" s="58"/>
    </row>
    <row r="23" spans="1:14" x14ac:dyDescent="0.2">
      <c r="A23" s="21" t="s">
        <v>39</v>
      </c>
      <c r="B23" s="62">
        <v>0</v>
      </c>
      <c r="C23" s="35"/>
      <c r="D23" s="36" t="s">
        <v>147</v>
      </c>
      <c r="E23" s="37" t="s">
        <v>40</v>
      </c>
      <c r="F23" s="20"/>
      <c r="G23" s="57" t="s">
        <v>138</v>
      </c>
      <c r="H23" s="58">
        <f>H21-(3/H18)^H17</f>
        <v>1.8696368472874507</v>
      </c>
    </row>
    <row r="24" spans="1:14" x14ac:dyDescent="0.2">
      <c r="A24" s="21" t="s">
        <v>41</v>
      </c>
      <c r="B24" s="26">
        <v>0</v>
      </c>
      <c r="C24" s="35"/>
      <c r="D24" s="36" t="s">
        <v>148</v>
      </c>
      <c r="E24" s="37" t="s">
        <v>40</v>
      </c>
      <c r="F24" s="20"/>
      <c r="G24" s="57" t="s">
        <v>139</v>
      </c>
      <c r="H24" s="58">
        <f>H23-(4/H18)^H17</f>
        <v>-2.4623567070285457</v>
      </c>
    </row>
    <row r="25" spans="1:14" x14ac:dyDescent="0.2">
      <c r="A25" s="21" t="s">
        <v>42</v>
      </c>
      <c r="B25" s="26">
        <v>5.0999999999999996</v>
      </c>
      <c r="C25" s="35"/>
      <c r="D25" s="36" t="s">
        <v>105</v>
      </c>
      <c r="E25" s="37" t="s">
        <v>34</v>
      </c>
      <c r="F25" s="20"/>
      <c r="G25" s="57"/>
      <c r="H25" s="58"/>
    </row>
    <row r="26" spans="1:14" x14ac:dyDescent="0.2">
      <c r="A26" s="21" t="s">
        <v>140</v>
      </c>
      <c r="B26" s="26">
        <v>4.4000000000000004</v>
      </c>
      <c r="C26" s="35"/>
      <c r="D26" s="36" t="s">
        <v>149</v>
      </c>
      <c r="E26" s="37" t="s">
        <v>126</v>
      </c>
      <c r="F26" s="20"/>
      <c r="G26" s="57"/>
      <c r="H26" s="58"/>
    </row>
    <row r="27" spans="1:14" x14ac:dyDescent="0.2">
      <c r="A27" s="21" t="s">
        <v>43</v>
      </c>
      <c r="B27" s="26">
        <v>2.6</v>
      </c>
      <c r="C27" s="35"/>
      <c r="D27" s="36" t="s">
        <v>150</v>
      </c>
      <c r="E27" s="37" t="s">
        <v>44</v>
      </c>
      <c r="F27" s="20"/>
      <c r="G27" s="57"/>
      <c r="H27" s="57"/>
    </row>
    <row r="28" spans="1:14" x14ac:dyDescent="0.2">
      <c r="A28" s="21" t="s">
        <v>45</v>
      </c>
      <c r="B28" s="26">
        <v>2</v>
      </c>
      <c r="C28" s="35"/>
      <c r="D28" s="36" t="s">
        <v>107</v>
      </c>
      <c r="E28" s="37" t="s">
        <v>44</v>
      </c>
      <c r="F28" s="20"/>
      <c r="G28" s="63" t="s">
        <v>141</v>
      </c>
      <c r="H28" s="58">
        <f>IF(H18&lt;=0,0,IF(H18&lt;=1,H19,IF(H18&lt;=2,H20,IF(H18&lt;=3,H21,IF(H18&lt;=4,H23,IF(H18&lt;=5,H24))))))</f>
        <v>2.8696368472874507</v>
      </c>
    </row>
    <row r="29" spans="1:14" x14ac:dyDescent="0.2">
      <c r="A29" s="21" t="s">
        <v>46</v>
      </c>
      <c r="B29" s="26">
        <v>0.4</v>
      </c>
      <c r="C29" s="35"/>
      <c r="D29" s="36" t="s">
        <v>108</v>
      </c>
      <c r="E29" s="37" t="s">
        <v>44</v>
      </c>
      <c r="F29" s="20"/>
    </row>
    <row r="30" spans="1:14" x14ac:dyDescent="0.2">
      <c r="A30" s="21" t="s">
        <v>47</v>
      </c>
      <c r="B30" s="26">
        <v>0.5</v>
      </c>
      <c r="C30" s="35"/>
      <c r="D30" s="36" t="s">
        <v>109</v>
      </c>
      <c r="E30" s="37" t="s">
        <v>48</v>
      </c>
      <c r="F30" s="20"/>
      <c r="G30" s="40" t="s">
        <v>49</v>
      </c>
      <c r="I30" s="60" t="s">
        <v>142</v>
      </c>
      <c r="J30" s="40">
        <f>B26+B27+B28+B30-B29-J20</f>
        <v>7.4124999999999996</v>
      </c>
      <c r="K30" s="64" t="s">
        <v>143</v>
      </c>
      <c r="L30" s="65">
        <f>B13*(1-(((B13-1)/B13)^H17))</f>
        <v>2.6200204723244802</v>
      </c>
      <c r="M30" s="65">
        <f>2*H28*J20+L30*J30</f>
        <v>29.105926110700356</v>
      </c>
      <c r="N30" s="64" t="s">
        <v>144</v>
      </c>
    </row>
    <row r="31" spans="1:14" x14ac:dyDescent="0.2">
      <c r="A31" s="21" t="s">
        <v>50</v>
      </c>
      <c r="B31" s="26">
        <v>1</v>
      </c>
      <c r="C31" s="35"/>
      <c r="D31" s="36" t="s">
        <v>110</v>
      </c>
      <c r="E31" s="37" t="s">
        <v>51</v>
      </c>
      <c r="F31" s="20"/>
      <c r="G31" s="40"/>
      <c r="H31" s="40"/>
      <c r="I31" s="40"/>
      <c r="J31" s="40"/>
      <c r="K31" s="40"/>
      <c r="L31" s="40"/>
    </row>
    <row r="32" spans="1:14" x14ac:dyDescent="0.2">
      <c r="A32" s="127"/>
      <c r="B32" s="128"/>
      <c r="C32" s="128"/>
      <c r="D32" s="128"/>
      <c r="E32" s="30"/>
      <c r="F32" s="18"/>
      <c r="G32" s="40" t="s">
        <v>52</v>
      </c>
      <c r="H32" s="40" t="s">
        <v>53</v>
      </c>
      <c r="I32" s="40" t="s">
        <v>54</v>
      </c>
      <c r="J32" s="43" t="s">
        <v>55</v>
      </c>
      <c r="K32" s="43" t="s">
        <v>56</v>
      </c>
      <c r="L32" s="40"/>
    </row>
    <row r="33" spans="1:12" x14ac:dyDescent="0.2">
      <c r="A33" s="31" t="s">
        <v>57</v>
      </c>
      <c r="B33" s="32" t="s">
        <v>21</v>
      </c>
      <c r="C33" s="33"/>
      <c r="D33" s="32" t="s">
        <v>22</v>
      </c>
      <c r="E33" s="34" t="s">
        <v>23</v>
      </c>
      <c r="F33" s="20"/>
      <c r="G33" s="40">
        <f>B21/B19</f>
        <v>2.3749999999999996</v>
      </c>
      <c r="H33" s="40">
        <f>B25+B27+B28+B30-B29</f>
        <v>9.7999999999999989</v>
      </c>
      <c r="I33" s="40">
        <f>H33-G33</f>
        <v>7.4249999999999989</v>
      </c>
      <c r="J33" s="44">
        <f>B12-(((B12-1)/B12)^B16+((B12-2)/B12)^B16+((B12-3)/B12)^B16+((B12-4)/B12)^B16+((B12-5)/B12)^B16+((B12-6)/B12)^B16+((B12-7)/B12)^B16+((B12-8)/B12)^B16)</f>
        <v>22.120477981650485</v>
      </c>
      <c r="K33" s="44">
        <f>B12*(1-(((B12-1)/B12)^B16))</f>
        <v>7.7065801009070505</v>
      </c>
      <c r="L33" s="40"/>
    </row>
    <row r="34" spans="1:12" x14ac:dyDescent="0.2">
      <c r="A34" s="21" t="s">
        <v>58</v>
      </c>
      <c r="B34" s="45">
        <f>B16</f>
        <v>9.1</v>
      </c>
      <c r="C34" s="35"/>
      <c r="D34" s="36" t="s">
        <v>151</v>
      </c>
      <c r="E34" s="37" t="s">
        <v>30</v>
      </c>
      <c r="F34" s="20"/>
      <c r="G34" s="40"/>
      <c r="H34" s="40"/>
      <c r="I34" s="40"/>
      <c r="J34" s="44"/>
      <c r="K34" s="44"/>
      <c r="L34" s="40"/>
    </row>
    <row r="35" spans="1:12" x14ac:dyDescent="0.2">
      <c r="A35" s="21" t="s">
        <v>59</v>
      </c>
      <c r="B35" s="46">
        <f>J35</f>
        <v>22.261779424053714</v>
      </c>
      <c r="C35" s="35"/>
      <c r="D35" s="47" t="s">
        <v>152</v>
      </c>
      <c r="E35" s="48" t="s">
        <v>60</v>
      </c>
      <c r="F35" s="20"/>
      <c r="G35" s="40"/>
      <c r="H35" s="40"/>
      <c r="I35" s="40" t="s">
        <v>61</v>
      </c>
      <c r="J35" s="44">
        <f>B12-(((B12-1)/B12)^B16+((B12-2)/B12)^B16+((B12-3)/B12)^B16+((B12-4)/B12)^B16+((B12-5)/B12)^B16)</f>
        <v>22.261779424053714</v>
      </c>
      <c r="K35" s="44">
        <f>B12*(1-(((B12-1)/B12)^(0.8*B14)))</f>
        <v>23.999999999964452</v>
      </c>
      <c r="L35" s="40" t="s">
        <v>62</v>
      </c>
    </row>
    <row r="36" spans="1:12" x14ac:dyDescent="0.2">
      <c r="A36" s="21" t="s">
        <v>63</v>
      </c>
      <c r="B36" s="46">
        <f>K33</f>
        <v>7.7065801009070505</v>
      </c>
      <c r="C36" s="35"/>
      <c r="D36" s="36" t="s">
        <v>113</v>
      </c>
      <c r="E36" s="37" t="s">
        <v>64</v>
      </c>
      <c r="F36" s="20"/>
      <c r="G36" s="43" t="s">
        <v>65</v>
      </c>
      <c r="H36" s="43"/>
      <c r="I36" s="43"/>
      <c r="J36" s="44">
        <f>B12-(((B12-1)/B12)^(0.8*B14)+((B12-2)/B12)^(0.8*B14)+((B12-3)/B12)^(0.8*B14)+((B12-4)/B12)^(0.8*B14)+((B12-5)/B12)^(0.8*B14))</f>
        <v>23.999999999998519</v>
      </c>
      <c r="K36" s="44" t="s">
        <v>66</v>
      </c>
      <c r="L36" s="43"/>
    </row>
    <row r="37" spans="1:12" x14ac:dyDescent="0.2">
      <c r="A37" s="21" t="s">
        <v>67</v>
      </c>
      <c r="B37" s="46">
        <f>H33</f>
        <v>9.7999999999999989</v>
      </c>
      <c r="C37" s="35"/>
      <c r="D37" s="36" t="s">
        <v>114</v>
      </c>
      <c r="E37" s="37" t="s">
        <v>68</v>
      </c>
      <c r="F37" s="20"/>
      <c r="G37" s="44">
        <f>(2*J35*G33)+((K33+1)*I33)+(2*B16*B31)+2*B24</f>
        <v>188.58980951348997</v>
      </c>
      <c r="H37" s="44" t="s">
        <v>69</v>
      </c>
      <c r="I37" s="40"/>
      <c r="J37" s="44"/>
      <c r="K37" s="44"/>
      <c r="L37" s="40"/>
    </row>
    <row r="38" spans="1:12" x14ac:dyDescent="0.2">
      <c r="A38" s="21" t="s">
        <v>70</v>
      </c>
      <c r="B38" s="46">
        <f>G37+M30</f>
        <v>217.69573562419032</v>
      </c>
      <c r="C38" s="23"/>
      <c r="D38" s="36" t="s">
        <v>115</v>
      </c>
      <c r="E38" s="37" t="s">
        <v>71</v>
      </c>
      <c r="F38" s="20"/>
      <c r="G38" s="44">
        <f>(2*J36*G33)+((K35+1)*I33)+(2*0.8*B14*B31)+2*B24</f>
        <v>1579.624999999729</v>
      </c>
      <c r="H38" s="40" t="s">
        <v>72</v>
      </c>
      <c r="I38" s="40" t="s">
        <v>198</v>
      </c>
      <c r="J38" s="40" t="s">
        <v>199</v>
      </c>
      <c r="K38" s="40"/>
      <c r="L38" s="40"/>
    </row>
    <row r="39" spans="1:12" x14ac:dyDescent="0.2">
      <c r="A39" s="21" t="s">
        <v>73</v>
      </c>
      <c r="B39" s="46">
        <f>B38/B18</f>
        <v>54.42393390604758</v>
      </c>
      <c r="C39" s="23"/>
      <c r="D39" s="36" t="s">
        <v>116</v>
      </c>
      <c r="E39" s="37" t="s">
        <v>74</v>
      </c>
      <c r="F39" s="20"/>
      <c r="G39" s="49"/>
      <c r="H39" s="44">
        <f>G38/B18</f>
        <v>394.90624999993224</v>
      </c>
      <c r="I39" s="40" t="s">
        <v>75</v>
      </c>
      <c r="J39" s="40"/>
      <c r="K39" s="40"/>
      <c r="L39" s="40"/>
    </row>
    <row r="40" spans="1:12" x14ac:dyDescent="0.2">
      <c r="A40" s="21" t="s">
        <v>76</v>
      </c>
      <c r="B40" s="50">
        <f>300*B16/B39</f>
        <v>50.161754288339729</v>
      </c>
      <c r="C40" s="23"/>
      <c r="D40" s="36" t="s">
        <v>117</v>
      </c>
      <c r="E40" s="37" t="s">
        <v>77</v>
      </c>
      <c r="F40" s="20"/>
      <c r="G40" s="44">
        <f>(0.4+((1.8*B16/B15)-0.77)^2)*B39</f>
        <v>41.03700676350752</v>
      </c>
      <c r="H40" s="40" t="s">
        <v>78</v>
      </c>
      <c r="I40" s="40"/>
      <c r="J40" s="40"/>
      <c r="K40" s="40"/>
      <c r="L40" s="40"/>
    </row>
    <row r="41" spans="1:12" x14ac:dyDescent="0.2">
      <c r="A41" s="21" t="s">
        <v>79</v>
      </c>
      <c r="B41" s="50">
        <f>(B40/B20)*100</f>
        <v>11.400398701895394</v>
      </c>
      <c r="C41" s="51"/>
      <c r="D41" s="36" t="s">
        <v>118</v>
      </c>
      <c r="E41" s="37" t="s">
        <v>80</v>
      </c>
      <c r="F41" s="20"/>
      <c r="G41" s="40"/>
      <c r="H41" s="40"/>
      <c r="I41" s="40"/>
      <c r="J41" s="40"/>
      <c r="K41" s="40"/>
      <c r="L41" s="40"/>
    </row>
    <row r="42" spans="1:12" x14ac:dyDescent="0.2">
      <c r="A42" s="21" t="s">
        <v>81</v>
      </c>
      <c r="B42" s="50">
        <f>100*B16/B15</f>
        <v>75.833333333333329</v>
      </c>
      <c r="C42" s="51"/>
      <c r="D42" s="36" t="s">
        <v>119</v>
      </c>
      <c r="E42" s="37" t="s">
        <v>26</v>
      </c>
      <c r="F42" s="20"/>
      <c r="G42" s="40" t="s">
        <v>82</v>
      </c>
      <c r="H42" s="40"/>
      <c r="I42" s="40"/>
      <c r="J42" s="40"/>
      <c r="K42" s="40"/>
      <c r="L42" s="40"/>
    </row>
    <row r="43" spans="1:12" x14ac:dyDescent="0.2">
      <c r="A43" s="21" t="s">
        <v>145</v>
      </c>
      <c r="B43" s="50">
        <f>G40</f>
        <v>41.03700676350752</v>
      </c>
      <c r="C43" s="51"/>
      <c r="D43" s="36" t="s">
        <v>120</v>
      </c>
      <c r="E43" s="37" t="s">
        <v>85</v>
      </c>
      <c r="F43" s="20"/>
      <c r="G43" s="44">
        <f>B12*(B21/B19)+(K33/2+1)*(B37-B21/B19)+2*B16*B31</f>
        <v>111.23567862461741</v>
      </c>
      <c r="H43" s="40" t="s">
        <v>86</v>
      </c>
      <c r="I43" s="40"/>
      <c r="J43" s="40"/>
      <c r="K43" s="40"/>
      <c r="L43" s="40"/>
    </row>
    <row r="44" spans="1:12" x14ac:dyDescent="0.2">
      <c r="A44" s="21" t="s">
        <v>88</v>
      </c>
      <c r="B44" s="50">
        <f>G46</f>
        <v>98.169940931014466</v>
      </c>
      <c r="C44" s="51"/>
      <c r="D44" s="36" t="s">
        <v>121</v>
      </c>
      <c r="E44" s="37" t="s">
        <v>89</v>
      </c>
      <c r="F44" s="20"/>
      <c r="G44" s="44"/>
      <c r="H44" s="40"/>
      <c r="I44" s="40"/>
      <c r="J44" s="40"/>
      <c r="K44" s="40"/>
      <c r="L44" s="40"/>
    </row>
    <row r="45" spans="1:12" x14ac:dyDescent="0.2">
      <c r="A45" s="127"/>
      <c r="B45" s="128"/>
      <c r="C45" s="128"/>
      <c r="D45" s="128"/>
      <c r="E45" s="30"/>
      <c r="F45" s="18"/>
      <c r="G45" s="44">
        <f>G43/B18</f>
        <v>27.808919656154352</v>
      </c>
      <c r="H45" s="40" t="s">
        <v>92</v>
      </c>
      <c r="I45" s="40"/>
      <c r="J45" s="40"/>
      <c r="K45" s="40"/>
      <c r="L45" s="40"/>
    </row>
    <row r="46" spans="1:12" x14ac:dyDescent="0.2">
      <c r="A46" s="135" t="s">
        <v>93</v>
      </c>
      <c r="B46" s="136"/>
      <c r="C46" s="136"/>
      <c r="D46" s="136"/>
      <c r="E46" s="137"/>
      <c r="F46" s="20"/>
      <c r="G46" s="54">
        <f>300*B16/G45</f>
        <v>98.169940931014466</v>
      </c>
      <c r="H46" s="40" t="s">
        <v>94</v>
      </c>
      <c r="I46" s="40"/>
      <c r="J46" s="40"/>
      <c r="K46" s="40"/>
      <c r="L46" s="40"/>
    </row>
    <row r="47" spans="1:12" x14ac:dyDescent="0.2">
      <c r="A47" s="129"/>
      <c r="B47" s="130"/>
      <c r="C47" s="130"/>
      <c r="D47" s="130"/>
      <c r="E47" s="131"/>
      <c r="F47" s="20"/>
    </row>
    <row r="48" spans="1:12" x14ac:dyDescent="0.2">
      <c r="A48" s="132"/>
      <c r="B48" s="133"/>
      <c r="C48" s="133"/>
      <c r="D48" s="133"/>
      <c r="E48" s="134"/>
      <c r="F48" s="20"/>
    </row>
    <row r="49" spans="1:6" x14ac:dyDescent="0.2">
      <c r="A49" s="124"/>
      <c r="B49" s="125"/>
      <c r="C49" s="125"/>
      <c r="D49" s="125"/>
      <c r="E49" s="126"/>
      <c r="F49" s="20"/>
    </row>
    <row r="50" spans="1:6" x14ac:dyDescent="0.2">
      <c r="A50" s="123" t="s">
        <v>95</v>
      </c>
      <c r="B50" s="123"/>
      <c r="C50" s="123"/>
      <c r="D50" s="123"/>
      <c r="E50" s="123"/>
    </row>
    <row r="58" spans="1:6" hidden="1" x14ac:dyDescent="0.2"/>
  </sheetData>
  <sheetProtection password="E8DE" sheet="1" objects="1" scenarios="1" selectLockedCells="1"/>
  <mergeCells count="14">
    <mergeCell ref="A50:E50"/>
    <mergeCell ref="A49:E49"/>
    <mergeCell ref="A32:D32"/>
    <mergeCell ref="A45:D45"/>
    <mergeCell ref="A47:E47"/>
    <mergeCell ref="A48:E48"/>
    <mergeCell ref="A46:E46"/>
    <mergeCell ref="A1:E1"/>
    <mergeCell ref="A2:D2"/>
    <mergeCell ref="A3:D3"/>
    <mergeCell ref="A4:D4"/>
    <mergeCell ref="A10:D10"/>
    <mergeCell ref="A5:D5"/>
    <mergeCell ref="A6:D6"/>
  </mergeCells>
  <phoneticPr fontId="1" type="noConversion"/>
  <dataValidations count="10">
    <dataValidation type="whole" allowBlank="1" showInputMessage="1" showErrorMessage="1" error="Number to be between 5 and 24" sqref="B12">
      <formula1>5</formula1>
      <formula2>24</formula2>
    </dataValidation>
    <dataValidation allowBlank="1" showInputMessage="1" showErrorMessage="1" error="Number to be between 5 and 33" sqref="B14"/>
    <dataValidation type="whole" operator="lessThan" allowBlank="1" showInputMessage="1" showErrorMessage="1" sqref="B34:B37 B39:B44">
      <formula1>-10000</formula1>
    </dataValidation>
    <dataValidation type="whole" allowBlank="1" showInputMessage="1" showErrorMessage="1" error="Number of basement floors to be less than 5_x000a_" sqref="H6 H18">
      <formula1>0</formula1>
      <formula2>5</formula2>
    </dataValidation>
    <dataValidation type="whole" allowBlank="1" showInputMessage="1" showErrorMessage="1" error="Number of floors to be less than 5" sqref="B13">
      <formula1>1</formula1>
      <formula2>5</formula2>
    </dataValidation>
    <dataValidation type="whole" allowBlank="1" showInputMessage="1" showErrorMessage="1" error="Number to be between 1 and 10" sqref="B18">
      <formula1>1</formula1>
      <formula2>10</formula2>
    </dataValidation>
    <dataValidation type="decimal" allowBlank="1" showInputMessage="1" showErrorMessage="1" error="Number to be between 0 and 20" sqref="B19">
      <formula1>0</formula1>
      <formula2>20</formula2>
    </dataValidation>
    <dataValidation type="decimal" allowBlank="1" showInputMessage="1" showErrorMessage="1" sqref="B15:B17">
      <formula1>0</formula1>
      <formula2>100</formula2>
    </dataValidation>
    <dataValidation type="decimal" allowBlank="1" showInputMessage="1" showErrorMessage="1" error="Number to be 0 to 100" sqref="B21:B31">
      <formula1>0</formula1>
      <formula2>100</formula2>
    </dataValidation>
    <dataValidation operator="lessThan" allowBlank="1" showInputMessage="1" showErrorMessage="1" sqref="B38"/>
  </dataValidations>
  <printOptions horizontalCentered="1" verticalCentered="1" gridLines="1"/>
  <pageMargins left="0.59055118110236227" right="0.59055118110236227" top="0.59055118110236227" bottom="0.59055118110236227" header="0" footer="0"/>
  <pageSetup paperSize="9" scale="88" fitToWidth="0" orientation="landscape" r:id="rId1"/>
  <headerFooter alignWithMargins="0"/>
  <colBreaks count="2" manualBreakCount="2">
    <brk id="5" max="47" man="1"/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70" workbookViewId="0">
      <selection activeCell="K7" sqref="K7"/>
    </sheetView>
  </sheetViews>
  <sheetFormatPr defaultRowHeight="12.75" x14ac:dyDescent="0.2"/>
  <cols>
    <col min="1" max="1" width="37.42578125" style="56" customWidth="1"/>
    <col min="2" max="2" width="6.5703125" style="56" customWidth="1"/>
    <col min="3" max="3" width="2.7109375" style="56" customWidth="1"/>
    <col min="4" max="4" width="55.7109375" style="56" customWidth="1"/>
    <col min="5" max="5" width="6" style="56" customWidth="1"/>
    <col min="6" max="6" width="6.7109375" style="56" customWidth="1"/>
    <col min="7" max="7" width="14.5703125" style="56" customWidth="1"/>
    <col min="8" max="16384" width="9.140625" style="56"/>
  </cols>
  <sheetData>
    <row r="1" spans="1:6" ht="13.5" thickBot="1" x14ac:dyDescent="0.25">
      <c r="A1" s="172"/>
      <c r="B1" s="173"/>
      <c r="C1" s="173"/>
      <c r="D1" s="173"/>
      <c r="E1" s="174"/>
      <c r="F1" s="72"/>
    </row>
    <row r="2" spans="1:6" ht="19.5" thickBot="1" x14ac:dyDescent="0.35">
      <c r="A2" s="175" t="s">
        <v>172</v>
      </c>
      <c r="B2" s="176"/>
      <c r="C2" s="176"/>
      <c r="D2" s="177"/>
      <c r="E2" s="73"/>
      <c r="F2" s="74"/>
    </row>
    <row r="3" spans="1:6" x14ac:dyDescent="0.2">
      <c r="A3" s="178" t="s">
        <v>96</v>
      </c>
      <c r="B3" s="179"/>
      <c r="C3" s="179"/>
      <c r="D3" s="179"/>
      <c r="E3" s="76"/>
      <c r="F3" s="75"/>
    </row>
    <row r="4" spans="1:6" x14ac:dyDescent="0.2">
      <c r="A4" s="180" t="s">
        <v>14</v>
      </c>
      <c r="B4" s="181"/>
      <c r="C4" s="181"/>
      <c r="D4" s="181"/>
      <c r="E4" s="78"/>
      <c r="F4" s="77"/>
    </row>
    <row r="5" spans="1:6" x14ac:dyDescent="0.2">
      <c r="A5" s="168"/>
      <c r="B5" s="169"/>
      <c r="C5" s="169"/>
      <c r="D5" s="169"/>
      <c r="E5" s="79"/>
      <c r="F5" s="80"/>
    </row>
    <row r="6" spans="1:6" x14ac:dyDescent="0.2">
      <c r="A6" s="170" t="s">
        <v>15</v>
      </c>
      <c r="B6" s="171"/>
      <c r="C6" s="171"/>
      <c r="D6" s="171"/>
      <c r="E6" s="81" t="s">
        <v>171</v>
      </c>
      <c r="F6" s="82"/>
    </row>
    <row r="7" spans="1:6" x14ac:dyDescent="0.2">
      <c r="A7" s="83" t="s">
        <v>16</v>
      </c>
      <c r="B7" s="84"/>
      <c r="C7" s="85"/>
      <c r="D7" s="24" t="s">
        <v>166</v>
      </c>
      <c r="E7" s="87"/>
      <c r="F7" s="82"/>
    </row>
    <row r="8" spans="1:6" x14ac:dyDescent="0.2">
      <c r="A8" s="83" t="s">
        <v>17</v>
      </c>
      <c r="B8" s="84"/>
      <c r="C8" s="85"/>
      <c r="D8" s="26" t="s">
        <v>18</v>
      </c>
      <c r="E8" s="87"/>
      <c r="F8" s="82"/>
    </row>
    <row r="9" spans="1:6" x14ac:dyDescent="0.2">
      <c r="A9" s="83" t="s">
        <v>19</v>
      </c>
      <c r="B9" s="85"/>
      <c r="C9" s="85"/>
      <c r="D9" s="106">
        <f ca="1">NOW()</f>
        <v>42118.414575347226</v>
      </c>
      <c r="E9" s="88"/>
      <c r="F9" s="89"/>
    </row>
    <row r="10" spans="1:6" x14ac:dyDescent="0.2">
      <c r="A10" s="157"/>
      <c r="B10" s="158"/>
      <c r="C10" s="158"/>
      <c r="D10" s="158"/>
      <c r="E10" s="90"/>
      <c r="F10" s="80"/>
    </row>
    <row r="11" spans="1:6" x14ac:dyDescent="0.2">
      <c r="A11" s="91" t="s">
        <v>20</v>
      </c>
      <c r="B11" s="92" t="s">
        <v>21</v>
      </c>
      <c r="C11" s="93"/>
      <c r="D11" s="92" t="s">
        <v>22</v>
      </c>
      <c r="E11" s="94" t="s">
        <v>23</v>
      </c>
      <c r="F11" s="82"/>
    </row>
    <row r="12" spans="1:6" x14ac:dyDescent="0.2">
      <c r="A12" s="83" t="s">
        <v>162</v>
      </c>
      <c r="B12" s="24">
        <v>8</v>
      </c>
      <c r="C12" s="86"/>
      <c r="D12" s="95" t="s">
        <v>97</v>
      </c>
      <c r="E12" s="96" t="s">
        <v>25</v>
      </c>
      <c r="F12" s="82"/>
    </row>
    <row r="13" spans="1:6" x14ac:dyDescent="0.2">
      <c r="A13" s="83" t="s">
        <v>195</v>
      </c>
      <c r="B13" s="26">
        <v>1600</v>
      </c>
      <c r="C13" s="86"/>
      <c r="D13" s="95" t="s">
        <v>197</v>
      </c>
      <c r="E13" s="96" t="s">
        <v>26</v>
      </c>
      <c r="F13" s="82"/>
    </row>
    <row r="14" spans="1:6" x14ac:dyDescent="0.2">
      <c r="A14" s="83" t="s">
        <v>27</v>
      </c>
      <c r="B14" s="26">
        <v>16.899999999999999</v>
      </c>
      <c r="C14" s="86"/>
      <c r="D14" s="95" t="s">
        <v>28</v>
      </c>
      <c r="E14" s="96" t="s">
        <v>26</v>
      </c>
      <c r="F14" s="82"/>
    </row>
    <row r="15" spans="1:6" x14ac:dyDescent="0.2">
      <c r="A15" s="83" t="s">
        <v>29</v>
      </c>
      <c r="B15" s="38">
        <v>13.5</v>
      </c>
      <c r="C15" s="86"/>
      <c r="D15" s="95" t="s">
        <v>98</v>
      </c>
      <c r="E15" s="96" t="s">
        <v>30</v>
      </c>
      <c r="F15" s="82"/>
    </row>
    <row r="16" spans="1:6" x14ac:dyDescent="0.2">
      <c r="A16" s="83" t="s">
        <v>31</v>
      </c>
      <c r="B16" s="26">
        <v>6</v>
      </c>
      <c r="C16" s="86"/>
      <c r="D16" s="95" t="s">
        <v>99</v>
      </c>
      <c r="E16" s="96" t="s">
        <v>32</v>
      </c>
      <c r="F16" s="82"/>
    </row>
    <row r="17" spans="1:13" x14ac:dyDescent="0.2">
      <c r="A17" s="83" t="s">
        <v>33</v>
      </c>
      <c r="B17" s="26">
        <v>4</v>
      </c>
      <c r="C17" s="86"/>
      <c r="D17" s="95" t="s">
        <v>100</v>
      </c>
      <c r="E17" s="96" t="s">
        <v>34</v>
      </c>
      <c r="F17" s="82"/>
    </row>
    <row r="18" spans="1:13" x14ac:dyDescent="0.2">
      <c r="A18" s="83" t="s">
        <v>163</v>
      </c>
      <c r="B18" s="26">
        <v>2363</v>
      </c>
      <c r="C18" s="86"/>
      <c r="D18" s="95" t="s">
        <v>101</v>
      </c>
      <c r="E18" s="96" t="s">
        <v>36</v>
      </c>
      <c r="F18" s="82"/>
      <c r="H18" s="97"/>
    </row>
    <row r="19" spans="1:13" x14ac:dyDescent="0.2">
      <c r="A19" s="83" t="s">
        <v>164</v>
      </c>
      <c r="B19" s="26">
        <v>8</v>
      </c>
      <c r="C19" s="86"/>
      <c r="D19" s="95" t="s">
        <v>102</v>
      </c>
      <c r="E19" s="96" t="s">
        <v>38</v>
      </c>
      <c r="F19" s="82"/>
    </row>
    <row r="20" spans="1:13" x14ac:dyDescent="0.2">
      <c r="A20" s="83" t="s">
        <v>39</v>
      </c>
      <c r="B20" s="26">
        <v>0</v>
      </c>
      <c r="C20" s="86"/>
      <c r="D20" s="95" t="s">
        <v>103</v>
      </c>
      <c r="E20" s="96" t="s">
        <v>40</v>
      </c>
      <c r="F20" s="82"/>
    </row>
    <row r="21" spans="1:13" x14ac:dyDescent="0.2">
      <c r="A21" s="83" t="s">
        <v>41</v>
      </c>
      <c r="B21" s="26">
        <v>0</v>
      </c>
      <c r="C21" s="86"/>
      <c r="D21" s="95" t="s">
        <v>104</v>
      </c>
      <c r="E21" s="96" t="s">
        <v>40</v>
      </c>
      <c r="F21" s="82"/>
    </row>
    <row r="22" spans="1:13" x14ac:dyDescent="0.2">
      <c r="A22" s="83" t="s">
        <v>165</v>
      </c>
      <c r="B22" s="26">
        <v>6.36</v>
      </c>
      <c r="C22" s="86"/>
      <c r="D22" s="95" t="s">
        <v>105</v>
      </c>
      <c r="E22" s="96" t="s">
        <v>34</v>
      </c>
      <c r="F22" s="82"/>
    </row>
    <row r="23" spans="1:13" x14ac:dyDescent="0.2">
      <c r="A23" s="83" t="s">
        <v>43</v>
      </c>
      <c r="B23" s="26">
        <v>2.8</v>
      </c>
      <c r="C23" s="86"/>
      <c r="D23" s="95" t="s">
        <v>106</v>
      </c>
      <c r="E23" s="96" t="s">
        <v>44</v>
      </c>
      <c r="F23" s="82"/>
    </row>
    <row r="24" spans="1:13" x14ac:dyDescent="0.2">
      <c r="A24" s="83" t="s">
        <v>45</v>
      </c>
      <c r="B24" s="26">
        <v>2</v>
      </c>
      <c r="C24" s="86"/>
      <c r="D24" s="95" t="s">
        <v>107</v>
      </c>
      <c r="E24" s="96" t="s">
        <v>44</v>
      </c>
      <c r="F24" s="82"/>
    </row>
    <row r="25" spans="1:13" x14ac:dyDescent="0.2">
      <c r="A25" s="83" t="s">
        <v>46</v>
      </c>
      <c r="B25" s="26">
        <v>0.5</v>
      </c>
      <c r="C25" s="86"/>
      <c r="D25" s="95" t="s">
        <v>108</v>
      </c>
      <c r="E25" s="96" t="s">
        <v>44</v>
      </c>
      <c r="F25" s="82"/>
      <c r="H25" s="56" t="s">
        <v>166</v>
      </c>
      <c r="I25" s="56" t="s">
        <v>167</v>
      </c>
      <c r="J25" s="56" t="s">
        <v>168</v>
      </c>
      <c r="K25" s="56" t="s">
        <v>169</v>
      </c>
      <c r="L25" s="56" t="s">
        <v>170</v>
      </c>
    </row>
    <row r="26" spans="1:13" x14ac:dyDescent="0.2">
      <c r="A26" s="83" t="s">
        <v>47</v>
      </c>
      <c r="B26" s="26">
        <v>0.4</v>
      </c>
      <c r="C26" s="86"/>
      <c r="D26" s="95" t="s">
        <v>109</v>
      </c>
      <c r="E26" s="96" t="s">
        <v>48</v>
      </c>
      <c r="F26" s="82"/>
      <c r="G26" s="98" t="s">
        <v>49</v>
      </c>
    </row>
    <row r="27" spans="1:13" x14ac:dyDescent="0.2">
      <c r="A27" s="83" t="s">
        <v>50</v>
      </c>
      <c r="B27" s="26">
        <v>1</v>
      </c>
      <c r="C27" s="86"/>
      <c r="D27" s="95" t="s">
        <v>110</v>
      </c>
      <c r="E27" s="96" t="s">
        <v>51</v>
      </c>
      <c r="F27" s="82"/>
      <c r="G27" s="98"/>
      <c r="H27" s="98"/>
      <c r="I27" s="98"/>
      <c r="J27" s="98"/>
      <c r="K27" s="98"/>
      <c r="L27" s="98"/>
    </row>
    <row r="28" spans="1:13" x14ac:dyDescent="0.2">
      <c r="A28" s="157"/>
      <c r="B28" s="158"/>
      <c r="C28" s="158"/>
      <c r="D28" s="158"/>
      <c r="E28" s="90"/>
      <c r="F28" s="80"/>
      <c r="G28" s="98" t="s">
        <v>52</v>
      </c>
      <c r="H28" s="98" t="s">
        <v>53</v>
      </c>
      <c r="I28" s="98" t="s">
        <v>54</v>
      </c>
      <c r="J28" s="99" t="s">
        <v>55</v>
      </c>
      <c r="K28" s="99" t="s">
        <v>56</v>
      </c>
      <c r="L28" s="98"/>
    </row>
    <row r="29" spans="1:13" x14ac:dyDescent="0.2">
      <c r="A29" s="91" t="s">
        <v>57</v>
      </c>
      <c r="B29" s="92" t="s">
        <v>21</v>
      </c>
      <c r="C29" s="93"/>
      <c r="D29" s="92" t="s">
        <v>22</v>
      </c>
      <c r="E29" s="94" t="s">
        <v>23</v>
      </c>
      <c r="F29" s="82"/>
      <c r="G29" s="98">
        <f>B19/B17</f>
        <v>2</v>
      </c>
      <c r="H29" s="98">
        <f>B22+B23+B24+B26-B25</f>
        <v>11.06</v>
      </c>
      <c r="I29" s="98">
        <f>H29-G29</f>
        <v>9.06</v>
      </c>
      <c r="J29" s="100">
        <f>B12-(((B12-1)/B12)^B15+((B12-2)/B12)^B15+((B12-3)/B12)^B15+((B12-4)/B12)^B15+((B12-5)/B12)^B15+((B12-6)/B12)^B15+((B12-7)/B12)^B15+((B12-8)/B12)^B15)</f>
        <v>7.8127245866550776</v>
      </c>
      <c r="K29" s="100">
        <f>B12*(1-(((B12-1)/B12)^B15))</f>
        <v>6.6811399813211434</v>
      </c>
      <c r="L29" s="98"/>
      <c r="M29" s="56">
        <v>29</v>
      </c>
    </row>
    <row r="30" spans="1:13" x14ac:dyDescent="0.2">
      <c r="A30" s="83" t="s">
        <v>58</v>
      </c>
      <c r="B30" s="107">
        <f>B15</f>
        <v>13.5</v>
      </c>
      <c r="C30" s="86"/>
      <c r="D30" s="95" t="s">
        <v>111</v>
      </c>
      <c r="E30" s="96" t="s">
        <v>30</v>
      </c>
      <c r="F30" s="82"/>
      <c r="G30" s="98"/>
      <c r="H30" s="98"/>
      <c r="I30" s="98"/>
      <c r="J30" s="100"/>
      <c r="K30" s="100"/>
      <c r="L30" s="98"/>
      <c r="M30" s="56">
        <v>30</v>
      </c>
    </row>
    <row r="31" spans="1:13" x14ac:dyDescent="0.2">
      <c r="A31" s="83" t="s">
        <v>59</v>
      </c>
      <c r="B31" s="108">
        <f>J31</f>
        <v>7.8127245941063013</v>
      </c>
      <c r="C31" s="86"/>
      <c r="D31" s="101" t="s">
        <v>112</v>
      </c>
      <c r="E31" s="102" t="s">
        <v>60</v>
      </c>
      <c r="F31" s="82"/>
      <c r="G31" s="98"/>
      <c r="H31" s="98"/>
      <c r="I31" s="98" t="s">
        <v>61</v>
      </c>
      <c r="J31" s="100">
        <f>B12-(((B12-1)/B12)^B15+((B12-2)/B12)^B15+((B12-3)/B12)^B15+((B12-4)/B12)^B15+((B12-5)/B12)^B15)</f>
        <v>7.8127245941063013</v>
      </c>
      <c r="K31" s="100">
        <f>B12*(1-(((B12-1)/B12)^(0.8*B13)))</f>
        <v>8</v>
      </c>
      <c r="L31" s="98" t="s">
        <v>62</v>
      </c>
      <c r="M31" s="56">
        <v>31</v>
      </c>
    </row>
    <row r="32" spans="1:13" x14ac:dyDescent="0.2">
      <c r="A32" s="83" t="s">
        <v>63</v>
      </c>
      <c r="B32" s="108">
        <f>K29</f>
        <v>6.6811399813211434</v>
      </c>
      <c r="C32" s="86"/>
      <c r="D32" s="95" t="s">
        <v>113</v>
      </c>
      <c r="E32" s="96" t="s">
        <v>64</v>
      </c>
      <c r="F32" s="82"/>
      <c r="G32" s="99" t="s">
        <v>65</v>
      </c>
      <c r="H32" s="99"/>
      <c r="I32" s="99"/>
      <c r="J32" s="100">
        <f>B12-(((B12-1)/B12)^(0.8*B13)+((B12-2)/B12)^(0.8*B13)+((B12-3)/B12)^(0.8*B13)+((B12-4)/B12)^(0.8*B13)+((B12-5)/B12)^(0.8*B13))</f>
        <v>8</v>
      </c>
      <c r="K32" s="100" t="s">
        <v>66</v>
      </c>
      <c r="L32" s="99"/>
    </row>
    <row r="33" spans="1:12" x14ac:dyDescent="0.2">
      <c r="A33" s="83" t="s">
        <v>67</v>
      </c>
      <c r="B33" s="108">
        <f>H29</f>
        <v>11.06</v>
      </c>
      <c r="C33" s="86"/>
      <c r="D33" s="95" t="s">
        <v>114</v>
      </c>
      <c r="E33" s="96" t="s">
        <v>68</v>
      </c>
      <c r="F33" s="82"/>
      <c r="G33" s="100">
        <f>(2*J31*G29)+((K29*(2-K29/B12)+1)*I29)+B15*B27+(2-K29/B12)*B15*B27+2*B21</f>
        <v>140.04661350235097</v>
      </c>
      <c r="H33" s="100" t="s">
        <v>69</v>
      </c>
      <c r="I33" s="98"/>
      <c r="J33" s="100"/>
      <c r="K33" s="100"/>
      <c r="L33" s="98"/>
    </row>
    <row r="34" spans="1:12" x14ac:dyDescent="0.2">
      <c r="A34" s="83" t="s">
        <v>70</v>
      </c>
      <c r="B34" s="108">
        <f>G33</f>
        <v>140.04661350235097</v>
      </c>
      <c r="C34" s="85"/>
      <c r="D34" s="95" t="s">
        <v>115</v>
      </c>
      <c r="E34" s="96" t="s">
        <v>71</v>
      </c>
      <c r="F34" s="82"/>
      <c r="G34" s="100">
        <f>(2*J32*G29)+((K31+1)*I29)+(2*0.8*B13*B27)+2*B21</f>
        <v>2673.54</v>
      </c>
      <c r="H34" s="98" t="s">
        <v>72</v>
      </c>
      <c r="I34" s="98" t="s">
        <v>198</v>
      </c>
      <c r="J34" s="98" t="s">
        <v>199</v>
      </c>
      <c r="K34" s="98"/>
      <c r="L34" s="98"/>
    </row>
    <row r="35" spans="1:12" x14ac:dyDescent="0.2">
      <c r="A35" s="83" t="s">
        <v>73</v>
      </c>
      <c r="B35" s="108">
        <f>B34/B16</f>
        <v>23.341102250391828</v>
      </c>
      <c r="C35" s="85"/>
      <c r="D35" s="95" t="s">
        <v>116</v>
      </c>
      <c r="E35" s="96" t="s">
        <v>74</v>
      </c>
      <c r="F35" s="82"/>
      <c r="G35" s="103"/>
      <c r="H35" s="100">
        <f>G34/B16</f>
        <v>445.59</v>
      </c>
      <c r="I35" s="98" t="s">
        <v>75</v>
      </c>
      <c r="J35" s="98"/>
      <c r="K35" s="98"/>
      <c r="L35" s="98"/>
    </row>
    <row r="36" spans="1:12" x14ac:dyDescent="0.2">
      <c r="A36" s="83" t="s">
        <v>76</v>
      </c>
      <c r="B36" s="109">
        <f>2*300*B15/B35</f>
        <v>347.02731315373182</v>
      </c>
      <c r="C36" s="85"/>
      <c r="D36" s="95" t="s">
        <v>117</v>
      </c>
      <c r="E36" s="96" t="s">
        <v>77</v>
      </c>
      <c r="F36" s="82"/>
      <c r="G36" s="100">
        <f>(0.4+((1.8*B15/B14)-0.77)^2)*B35</f>
        <v>19.747741888069093</v>
      </c>
      <c r="H36" s="98" t="s">
        <v>78</v>
      </c>
      <c r="I36" s="98"/>
      <c r="J36" s="98"/>
      <c r="K36" s="98"/>
      <c r="L36" s="98"/>
    </row>
    <row r="37" spans="1:12" x14ac:dyDescent="0.2">
      <c r="A37" s="83" t="s">
        <v>79</v>
      </c>
      <c r="B37" s="108">
        <f>(B36/B18)*100</f>
        <v>14.685878677686492</v>
      </c>
      <c r="C37" s="104"/>
      <c r="D37" s="95" t="s">
        <v>118</v>
      </c>
      <c r="E37" s="96" t="s">
        <v>80</v>
      </c>
      <c r="F37" s="82"/>
      <c r="G37" s="98"/>
      <c r="H37" s="98"/>
      <c r="I37" s="98"/>
      <c r="J37" s="98"/>
      <c r="K37" s="98"/>
      <c r="L37" s="98"/>
    </row>
    <row r="38" spans="1:12" x14ac:dyDescent="0.2">
      <c r="A38" s="83" t="s">
        <v>81</v>
      </c>
      <c r="B38" s="110">
        <f>100*B15/B14</f>
        <v>79.881656804733737</v>
      </c>
      <c r="C38" s="104"/>
      <c r="D38" s="95" t="s">
        <v>119</v>
      </c>
      <c r="E38" s="96" t="s">
        <v>26</v>
      </c>
      <c r="F38" s="82"/>
      <c r="G38" s="98" t="s">
        <v>82</v>
      </c>
      <c r="H38" s="98"/>
      <c r="I38" s="98"/>
      <c r="J38" s="98"/>
      <c r="K38" s="98"/>
      <c r="L38" s="98"/>
    </row>
    <row r="39" spans="1:12" x14ac:dyDescent="0.2">
      <c r="A39" s="83" t="s">
        <v>145</v>
      </c>
      <c r="B39" s="110">
        <f>G36</f>
        <v>19.747741888069093</v>
      </c>
      <c r="C39" s="104"/>
      <c r="D39" s="95" t="s">
        <v>120</v>
      </c>
      <c r="E39" s="96" t="s">
        <v>85</v>
      </c>
      <c r="F39" s="82"/>
      <c r="G39" s="100">
        <f>B12*(B19/B17)+(K29/2+1)*(B33-B19/B17)+2*B15*B27</f>
        <v>82.325564115384779</v>
      </c>
      <c r="H39" s="98" t="s">
        <v>86</v>
      </c>
      <c r="I39" s="98"/>
      <c r="J39" s="98"/>
      <c r="K39" s="98"/>
      <c r="L39" s="98"/>
    </row>
    <row r="40" spans="1:12" x14ac:dyDescent="0.2">
      <c r="A40" s="83" t="s">
        <v>88</v>
      </c>
      <c r="B40" s="110">
        <f>G42</f>
        <v>590.3391069617677</v>
      </c>
      <c r="C40" s="104"/>
      <c r="D40" s="95" t="s">
        <v>121</v>
      </c>
      <c r="E40" s="96" t="s">
        <v>89</v>
      </c>
      <c r="F40" s="82"/>
      <c r="G40" s="100"/>
      <c r="H40" s="98"/>
      <c r="I40" s="98"/>
      <c r="J40" s="98"/>
      <c r="K40" s="98"/>
      <c r="L40" s="98"/>
    </row>
    <row r="41" spans="1:12" x14ac:dyDescent="0.2">
      <c r="A41" s="157"/>
      <c r="B41" s="158"/>
      <c r="C41" s="158"/>
      <c r="D41" s="158"/>
      <c r="E41" s="90"/>
      <c r="F41" s="80"/>
      <c r="G41" s="100">
        <f>G39/B16</f>
        <v>13.72092735256413</v>
      </c>
      <c r="H41" s="98" t="s">
        <v>92</v>
      </c>
      <c r="I41" s="98"/>
      <c r="J41" s="98"/>
      <c r="K41" s="98"/>
      <c r="L41" s="98"/>
    </row>
    <row r="42" spans="1:12" x14ac:dyDescent="0.2">
      <c r="A42" s="159" t="s">
        <v>93</v>
      </c>
      <c r="B42" s="160"/>
      <c r="C42" s="160"/>
      <c r="D42" s="160"/>
      <c r="E42" s="161"/>
      <c r="F42" s="82"/>
      <c r="G42" s="105">
        <f>2*300*B15/G41</f>
        <v>590.3391069617677</v>
      </c>
      <c r="H42" s="98" t="s">
        <v>94</v>
      </c>
      <c r="I42" s="98"/>
      <c r="J42" s="98"/>
      <c r="K42" s="98"/>
      <c r="L42" s="98"/>
    </row>
    <row r="43" spans="1:12" x14ac:dyDescent="0.2">
      <c r="A43" s="162"/>
      <c r="B43" s="163"/>
      <c r="C43" s="163"/>
      <c r="D43" s="163"/>
      <c r="E43" s="164"/>
      <c r="F43" s="82"/>
    </row>
    <row r="44" spans="1:12" x14ac:dyDescent="0.2">
      <c r="A44" s="165"/>
      <c r="B44" s="166"/>
      <c r="C44" s="166"/>
      <c r="D44" s="166"/>
      <c r="E44" s="167"/>
      <c r="F44" s="82"/>
    </row>
    <row r="45" spans="1:12" x14ac:dyDescent="0.2">
      <c r="A45" s="153"/>
      <c r="B45" s="154"/>
      <c r="C45" s="154"/>
      <c r="D45" s="154"/>
      <c r="E45" s="155"/>
      <c r="F45" s="82"/>
    </row>
    <row r="46" spans="1:12" x14ac:dyDescent="0.2">
      <c r="A46" s="156" t="s">
        <v>95</v>
      </c>
      <c r="B46" s="156"/>
      <c r="C46" s="156"/>
      <c r="D46" s="156"/>
      <c r="E46" s="156"/>
    </row>
    <row r="54" hidden="1" x14ac:dyDescent="0.2"/>
  </sheetData>
  <sheetProtection selectLockedCells="1"/>
  <mergeCells count="14">
    <mergeCell ref="A5:D5"/>
    <mergeCell ref="A6:D6"/>
    <mergeCell ref="A10:D10"/>
    <mergeCell ref="A28:D28"/>
    <mergeCell ref="A1:E1"/>
    <mergeCell ref="A2:D2"/>
    <mergeCell ref="A3:D3"/>
    <mergeCell ref="A4:D4"/>
    <mergeCell ref="A45:E45"/>
    <mergeCell ref="A46:E46"/>
    <mergeCell ref="A41:D41"/>
    <mergeCell ref="A42:E42"/>
    <mergeCell ref="A43:E43"/>
    <mergeCell ref="A44:E44"/>
  </mergeCells>
  <phoneticPr fontId="1" type="noConversion"/>
  <dataValidations count="5">
    <dataValidation type="decimal" allowBlank="1" showInputMessage="1" showErrorMessage="1" error="Number to be between 5 and 20" sqref="B14">
      <formula1>5</formula1>
      <formula2>20</formula2>
    </dataValidation>
    <dataValidation allowBlank="1" showInputMessage="1" showErrorMessage="1" error="Number to be integer number between 5 and 20." sqref="B15"/>
    <dataValidation allowBlank="1" showInputMessage="1" showErrorMessage="1" error="Number to be between 5 and 20" sqref="B13"/>
    <dataValidation type="whole" operator="lessThan" allowBlank="1" showInputMessage="1" showErrorMessage="1" sqref="B30:B35 B37:B40">
      <formula1>-10000</formula1>
    </dataValidation>
    <dataValidation type="whole" allowBlank="1" showInputMessage="1" showErrorMessage="1" error="Number to be between 5 and 20" sqref="B12">
      <formula1>5</formula1>
      <formula2>24</formula2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opLeftCell="A2" zoomScale="69" zoomScaleNormal="69" zoomScaleSheetLayoutView="50" workbookViewId="0">
      <selection activeCell="B29" sqref="B29"/>
    </sheetView>
  </sheetViews>
  <sheetFormatPr defaultRowHeight="12.75" x14ac:dyDescent="0.2"/>
  <cols>
    <col min="1" max="1" width="35.28515625" style="10" customWidth="1"/>
    <col min="2" max="2" width="9.42578125" style="10" customWidth="1"/>
    <col min="3" max="3" width="5.42578125" style="10" customWidth="1"/>
    <col min="4" max="4" width="55.7109375" style="10" customWidth="1"/>
    <col min="5" max="5" width="6" style="10" customWidth="1"/>
    <col min="6" max="6" width="6.7109375" style="10" customWidth="1"/>
    <col min="7" max="7" width="15.7109375" style="10" customWidth="1"/>
    <col min="8" max="16384" width="9.140625" style="10"/>
  </cols>
  <sheetData>
    <row r="1" spans="1:6" x14ac:dyDescent="0.2">
      <c r="A1" s="138"/>
      <c r="B1" s="139"/>
      <c r="C1" s="139"/>
      <c r="D1" s="139"/>
      <c r="E1" s="140"/>
      <c r="F1" s="9"/>
    </row>
    <row r="2" spans="1:6" ht="18.75" x14ac:dyDescent="0.3">
      <c r="A2" s="141" t="s">
        <v>174</v>
      </c>
      <c r="B2" s="142"/>
      <c r="C2" s="142"/>
      <c r="D2" s="142"/>
      <c r="E2" s="11"/>
      <c r="F2" s="12"/>
    </row>
    <row r="3" spans="1:6" x14ac:dyDescent="0.2">
      <c r="A3" s="143" t="s">
        <v>96</v>
      </c>
      <c r="B3" s="144"/>
      <c r="C3" s="144"/>
      <c r="D3" s="144"/>
      <c r="E3" s="14"/>
      <c r="F3" s="13"/>
    </row>
    <row r="4" spans="1:6" x14ac:dyDescent="0.2">
      <c r="A4" s="145" t="s">
        <v>14</v>
      </c>
      <c r="B4" s="146"/>
      <c r="C4" s="146"/>
      <c r="D4" s="146"/>
      <c r="E4" s="16"/>
      <c r="F4" s="15"/>
    </row>
    <row r="5" spans="1:6" x14ac:dyDescent="0.2">
      <c r="A5" s="147"/>
      <c r="B5" s="148"/>
      <c r="C5" s="148"/>
      <c r="D5" s="148"/>
      <c r="E5" s="17"/>
      <c r="F5" s="18"/>
    </row>
    <row r="6" spans="1:6" x14ac:dyDescent="0.2">
      <c r="A6" s="149" t="s">
        <v>15</v>
      </c>
      <c r="B6" s="150"/>
      <c r="C6" s="150"/>
      <c r="D6" s="150"/>
      <c r="E6" s="19" t="s">
        <v>192</v>
      </c>
      <c r="F6" s="20"/>
    </row>
    <row r="7" spans="1:6" x14ac:dyDescent="0.2">
      <c r="A7" s="21" t="s">
        <v>16</v>
      </c>
      <c r="B7" s="22"/>
      <c r="C7" s="23"/>
      <c r="D7" s="24" t="s">
        <v>13</v>
      </c>
      <c r="E7" s="25"/>
      <c r="F7" s="20"/>
    </row>
    <row r="8" spans="1:6" x14ac:dyDescent="0.2">
      <c r="A8" s="21" t="s">
        <v>17</v>
      </c>
      <c r="B8" s="22"/>
      <c r="C8" s="23"/>
      <c r="D8" s="26" t="s">
        <v>18</v>
      </c>
      <c r="E8" s="25"/>
      <c r="F8" s="20"/>
    </row>
    <row r="9" spans="1:6" x14ac:dyDescent="0.2">
      <c r="A9" s="21" t="s">
        <v>19</v>
      </c>
      <c r="B9" s="23"/>
      <c r="C9" s="23"/>
      <c r="D9" s="27">
        <f ca="1">NOW()</f>
        <v>42118.414575347226</v>
      </c>
      <c r="E9" s="28"/>
      <c r="F9" s="29"/>
    </row>
    <row r="10" spans="1:6" x14ac:dyDescent="0.2">
      <c r="A10" s="127"/>
      <c r="B10" s="128"/>
      <c r="C10" s="128"/>
      <c r="D10" s="128"/>
      <c r="E10" s="30"/>
      <c r="F10" s="18"/>
    </row>
    <row r="11" spans="1:6" x14ac:dyDescent="0.2">
      <c r="A11" s="31" t="s">
        <v>20</v>
      </c>
      <c r="B11" s="32" t="s">
        <v>21</v>
      </c>
      <c r="C11" s="33"/>
      <c r="D11" s="32" t="s">
        <v>22</v>
      </c>
      <c r="E11" s="34" t="s">
        <v>23</v>
      </c>
      <c r="F11" s="20"/>
    </row>
    <row r="12" spans="1:6" x14ac:dyDescent="0.2">
      <c r="A12" s="21" t="s">
        <v>24</v>
      </c>
      <c r="B12" s="24">
        <v>19</v>
      </c>
      <c r="C12" s="35"/>
      <c r="D12" s="36" t="s">
        <v>97</v>
      </c>
      <c r="E12" s="37" t="s">
        <v>25</v>
      </c>
      <c r="F12" s="20"/>
    </row>
    <row r="13" spans="1:6" x14ac:dyDescent="0.2">
      <c r="A13" s="21" t="s">
        <v>193</v>
      </c>
      <c r="B13" s="26">
        <v>1800</v>
      </c>
      <c r="C13" s="35"/>
      <c r="D13" s="36" t="s">
        <v>197</v>
      </c>
      <c r="E13" s="37" t="s">
        <v>26</v>
      </c>
      <c r="F13" s="20"/>
    </row>
    <row r="14" spans="1:6" x14ac:dyDescent="0.2">
      <c r="A14" s="21" t="s">
        <v>27</v>
      </c>
      <c r="B14" s="38">
        <v>24</v>
      </c>
      <c r="C14" s="35"/>
      <c r="D14" s="36" t="s">
        <v>28</v>
      </c>
      <c r="E14" s="37" t="s">
        <v>26</v>
      </c>
      <c r="F14" s="20"/>
    </row>
    <row r="15" spans="1:6" x14ac:dyDescent="0.2">
      <c r="A15" s="21" t="s">
        <v>29</v>
      </c>
      <c r="B15" s="38">
        <v>19.2</v>
      </c>
      <c r="C15" s="35"/>
      <c r="D15" s="36" t="s">
        <v>98</v>
      </c>
      <c r="E15" s="37" t="s">
        <v>30</v>
      </c>
      <c r="F15" s="20"/>
    </row>
    <row r="16" spans="1:6" x14ac:dyDescent="0.2">
      <c r="A16" s="21" t="s">
        <v>31</v>
      </c>
      <c r="B16" s="26">
        <v>8</v>
      </c>
      <c r="C16" s="35"/>
      <c r="D16" s="36" t="s">
        <v>99</v>
      </c>
      <c r="E16" s="37" t="s">
        <v>32</v>
      </c>
      <c r="F16" s="20"/>
    </row>
    <row r="17" spans="1:14" x14ac:dyDescent="0.2">
      <c r="A17" s="21" t="s">
        <v>33</v>
      </c>
      <c r="B17" s="26">
        <v>2.5</v>
      </c>
      <c r="C17" s="35"/>
      <c r="D17" s="36" t="s">
        <v>100</v>
      </c>
      <c r="E17" s="37" t="s">
        <v>34</v>
      </c>
      <c r="F17" s="20"/>
    </row>
    <row r="18" spans="1:14" x14ac:dyDescent="0.2">
      <c r="A18" s="21" t="s">
        <v>35</v>
      </c>
      <c r="B18" s="26">
        <v>1900</v>
      </c>
      <c r="C18" s="35"/>
      <c r="D18" s="36" t="s">
        <v>101</v>
      </c>
      <c r="E18" s="37" t="s">
        <v>36</v>
      </c>
      <c r="F18" s="20"/>
      <c r="H18" s="39"/>
    </row>
    <row r="19" spans="1:14" x14ac:dyDescent="0.2">
      <c r="A19" s="21" t="s">
        <v>37</v>
      </c>
      <c r="B19" s="26">
        <v>4.25</v>
      </c>
      <c r="C19" s="35"/>
      <c r="D19" s="36" t="s">
        <v>102</v>
      </c>
      <c r="E19" s="37" t="s">
        <v>38</v>
      </c>
      <c r="F19" s="20"/>
    </row>
    <row r="20" spans="1:14" x14ac:dyDescent="0.2">
      <c r="A20" s="21" t="s">
        <v>39</v>
      </c>
      <c r="B20" s="26">
        <v>0</v>
      </c>
      <c r="C20" s="35"/>
      <c r="D20" s="36" t="s">
        <v>103</v>
      </c>
      <c r="E20" s="37" t="s">
        <v>40</v>
      </c>
      <c r="F20" s="20"/>
    </row>
    <row r="21" spans="1:14" x14ac:dyDescent="0.2">
      <c r="A21" s="21" t="s">
        <v>41</v>
      </c>
      <c r="B21" s="26">
        <v>0</v>
      </c>
      <c r="C21" s="35"/>
      <c r="D21" s="36" t="s">
        <v>104</v>
      </c>
      <c r="E21" s="37" t="s">
        <v>40</v>
      </c>
      <c r="F21" s="20"/>
    </row>
    <row r="22" spans="1:14" x14ac:dyDescent="0.2">
      <c r="A22" s="21" t="s">
        <v>42</v>
      </c>
      <c r="B22" s="26">
        <v>5.4</v>
      </c>
      <c r="C22" s="35"/>
      <c r="D22" s="36" t="s">
        <v>105</v>
      </c>
      <c r="E22" s="37" t="s">
        <v>34</v>
      </c>
      <c r="F22" s="20"/>
    </row>
    <row r="23" spans="1:14" x14ac:dyDescent="0.2">
      <c r="A23" s="21" t="s">
        <v>43</v>
      </c>
      <c r="B23" s="26">
        <v>2</v>
      </c>
      <c r="C23" s="35"/>
      <c r="D23" s="36" t="s">
        <v>106</v>
      </c>
      <c r="E23" s="37" t="s">
        <v>44</v>
      </c>
      <c r="F23" s="20"/>
    </row>
    <row r="24" spans="1:14" x14ac:dyDescent="0.2">
      <c r="A24" s="21" t="s">
        <v>45</v>
      </c>
      <c r="B24" s="26">
        <v>2</v>
      </c>
      <c r="C24" s="35"/>
      <c r="D24" s="36" t="s">
        <v>107</v>
      </c>
      <c r="E24" s="37" t="s">
        <v>44</v>
      </c>
      <c r="F24" s="20"/>
    </row>
    <row r="25" spans="1:14" x14ac:dyDescent="0.2">
      <c r="A25" s="21" t="s">
        <v>46</v>
      </c>
      <c r="B25" s="26">
        <v>0.7</v>
      </c>
      <c r="C25" s="35"/>
      <c r="D25" s="36" t="s">
        <v>108</v>
      </c>
      <c r="E25" s="37" t="s">
        <v>44</v>
      </c>
      <c r="F25" s="20"/>
    </row>
    <row r="26" spans="1:14" x14ac:dyDescent="0.2">
      <c r="A26" s="21" t="s">
        <v>47</v>
      </c>
      <c r="B26" s="26">
        <v>0.6</v>
      </c>
      <c r="C26" s="35"/>
      <c r="D26" s="36" t="s">
        <v>109</v>
      </c>
      <c r="E26" s="37" t="s">
        <v>48</v>
      </c>
      <c r="F26" s="20"/>
      <c r="G26" s="40" t="s">
        <v>49</v>
      </c>
    </row>
    <row r="27" spans="1:14" x14ac:dyDescent="0.2">
      <c r="A27" s="21" t="s">
        <v>50</v>
      </c>
      <c r="B27" s="26">
        <v>1</v>
      </c>
      <c r="C27" s="35"/>
      <c r="D27" s="36" t="s">
        <v>110</v>
      </c>
      <c r="E27" s="37" t="s">
        <v>51</v>
      </c>
      <c r="F27" s="20"/>
      <c r="G27" s="40"/>
      <c r="H27" s="40"/>
      <c r="I27" s="40"/>
      <c r="J27" s="40"/>
      <c r="K27" s="40"/>
      <c r="L27" s="40"/>
      <c r="N27" s="119" t="s">
        <v>186</v>
      </c>
    </row>
    <row r="28" spans="1:14" x14ac:dyDescent="0.2">
      <c r="A28" s="112" t="s">
        <v>175</v>
      </c>
      <c r="B28" s="111">
        <v>8</v>
      </c>
      <c r="C28" s="35"/>
      <c r="D28" s="36" t="s">
        <v>176</v>
      </c>
      <c r="E28" s="37"/>
      <c r="F28" s="20"/>
      <c r="G28" s="40"/>
      <c r="H28" s="40"/>
      <c r="I28" s="40"/>
      <c r="J28" s="40"/>
      <c r="K28" s="40"/>
      <c r="L28" s="40"/>
      <c r="N28" s="115"/>
    </row>
    <row r="29" spans="1:14" x14ac:dyDescent="0.2">
      <c r="A29" s="41"/>
      <c r="B29" s="42"/>
      <c r="C29" s="42"/>
      <c r="D29" s="42"/>
      <c r="E29" s="30"/>
      <c r="F29" s="18"/>
      <c r="G29" s="40" t="s">
        <v>52</v>
      </c>
      <c r="H29" s="40" t="s">
        <v>53</v>
      </c>
      <c r="I29" s="40" t="s">
        <v>54</v>
      </c>
      <c r="J29" s="43" t="s">
        <v>55</v>
      </c>
      <c r="K29" s="43" t="s">
        <v>56</v>
      </c>
      <c r="L29" s="43"/>
      <c r="N29" s="116" t="s">
        <v>181</v>
      </c>
    </row>
    <row r="30" spans="1:14" x14ac:dyDescent="0.2">
      <c r="A30" s="31" t="s">
        <v>57</v>
      </c>
      <c r="B30" s="32" t="s">
        <v>21</v>
      </c>
      <c r="C30" s="33"/>
      <c r="D30" s="32" t="s">
        <v>22</v>
      </c>
      <c r="E30" s="34" t="s">
        <v>23</v>
      </c>
      <c r="F30" s="20"/>
      <c r="G30" s="40">
        <f>B19/B17</f>
        <v>1.7</v>
      </c>
      <c r="H30" s="40">
        <f>B22+B23+B24+B26-B25</f>
        <v>9.3000000000000007</v>
      </c>
      <c r="I30" s="40">
        <f>H30-G30</f>
        <v>7.6000000000000005</v>
      </c>
      <c r="J30" s="44">
        <f>B12-(((B12-1)/B12)^B15+((B12-2)/B12)^B15+((B12-3)/B12)^B15+((B12-4)/B12)^B15+((B12-5)/B12)^B15+((B12-6)/B12)^B15+((B12-7)/B12)^B15+((B12-8)/B12)^B15)</f>
        <v>18.476398050838075</v>
      </c>
      <c r="K30" s="44">
        <f>B12*(1-(((B12-1)/B12)^B15))</f>
        <v>12.27152627758273</v>
      </c>
      <c r="L30" s="40"/>
      <c r="N30" s="117">
        <f>B12*(1-(((B12-1)/B12)^(B28*B15)))/B28</f>
        <v>2.3744125548920736</v>
      </c>
    </row>
    <row r="31" spans="1:14" x14ac:dyDescent="0.2">
      <c r="A31" s="21" t="s">
        <v>58</v>
      </c>
      <c r="B31" s="45">
        <f>B15</f>
        <v>19.2</v>
      </c>
      <c r="C31" s="35"/>
      <c r="D31" s="36" t="s">
        <v>111</v>
      </c>
      <c r="E31" s="37" t="s">
        <v>30</v>
      </c>
      <c r="F31" s="20"/>
      <c r="G31" s="40"/>
      <c r="H31" s="40"/>
      <c r="I31" s="40"/>
      <c r="J31" s="44"/>
      <c r="K31" s="44"/>
      <c r="L31" s="40"/>
      <c r="N31" s="116" t="s">
        <v>182</v>
      </c>
    </row>
    <row r="32" spans="1:14" x14ac:dyDescent="0.2">
      <c r="A32" s="21" t="s">
        <v>59</v>
      </c>
      <c r="B32" s="113">
        <f>J30</f>
        <v>18.476398050838075</v>
      </c>
      <c r="C32" s="35"/>
      <c r="D32" s="47" t="s">
        <v>112</v>
      </c>
      <c r="E32" s="48" t="s">
        <v>60</v>
      </c>
      <c r="F32" s="20"/>
      <c r="G32" s="40"/>
      <c r="H32" s="40"/>
      <c r="I32" s="40" t="s">
        <v>61</v>
      </c>
      <c r="J32" s="44">
        <f>B12-(((B12-1)/B12)^B15+((B12-2)/B12)^B15+((B12-3)/B12)^B15+((B12-4)/B12)^B15+((B12-5)/B12)^B15)</f>
        <v>18.477257991054575</v>
      </c>
      <c r="K32" s="44">
        <f>B12*(1-(((B12-1)/B12)^(0.8*B13)))</f>
        <v>19</v>
      </c>
      <c r="L32" s="40" t="s">
        <v>62</v>
      </c>
      <c r="M32" s="64"/>
      <c r="N32" s="117">
        <f>B12-(((B12-1)/B12)^B44+((B12-2)/B12)^B44+((B12-3)/B12)^B44+((B12-4)/B12)^B44+((B12-5)/B12)^B44+((B12-6)/B12)^B44+((B12-7)/B12)^B44+((B12-8)/B12)^B44)</f>
        <v>14.617746776103964</v>
      </c>
    </row>
    <row r="33" spans="1:14" x14ac:dyDescent="0.2">
      <c r="A33" s="21" t="s">
        <v>63</v>
      </c>
      <c r="B33" s="46">
        <f>K30</f>
        <v>12.27152627758273</v>
      </c>
      <c r="C33" s="35"/>
      <c r="D33" s="36" t="s">
        <v>113</v>
      </c>
      <c r="E33" s="37" t="s">
        <v>64</v>
      </c>
      <c r="F33" s="20"/>
      <c r="G33" s="43" t="s">
        <v>65</v>
      </c>
      <c r="H33" s="43"/>
      <c r="I33" s="43"/>
      <c r="J33" s="44">
        <f>B12-(((B12-1)/B12)^(0.8*B13)+((B12-2)/B12)^(0.8*B13)+((B12-3)/B12)^(0.8*B13)+((B12-4)/B12)^(0.8*B13)+((B12-5)/B12)^(0.8*B13))</f>
        <v>19</v>
      </c>
      <c r="K33" s="44" t="s">
        <v>66</v>
      </c>
      <c r="L33" s="43"/>
      <c r="N33" s="116" t="s">
        <v>183</v>
      </c>
    </row>
    <row r="34" spans="1:14" x14ac:dyDescent="0.2">
      <c r="A34" s="21" t="s">
        <v>67</v>
      </c>
      <c r="B34" s="46">
        <f>H30</f>
        <v>9.3000000000000007</v>
      </c>
      <c r="C34" s="35"/>
      <c r="D34" s="36" t="s">
        <v>114</v>
      </c>
      <c r="E34" s="37" t="s">
        <v>68</v>
      </c>
      <c r="F34" s="20"/>
      <c r="G34" s="44">
        <f>(2*J32*G30)+((K30+1)*I30)+(2*B15*B27)+2*B21</f>
        <v>202.08627687921432</v>
      </c>
      <c r="H34" s="44" t="s">
        <v>69</v>
      </c>
      <c r="I34" s="40"/>
      <c r="J34" s="44"/>
      <c r="K34" s="44"/>
      <c r="L34" s="40"/>
      <c r="N34" s="117">
        <f>(2*N32*G30)+((N30+1)*I30)+(2*B15*B27)+2*B21</f>
        <v>113.74587445593323</v>
      </c>
    </row>
    <row r="35" spans="1:14" x14ac:dyDescent="0.2">
      <c r="A35" s="21" t="s">
        <v>70</v>
      </c>
      <c r="B35" s="46">
        <f>G34</f>
        <v>202.08627687921432</v>
      </c>
      <c r="C35" s="23"/>
      <c r="D35" s="36" t="s">
        <v>115</v>
      </c>
      <c r="E35" s="37" t="s">
        <v>71</v>
      </c>
      <c r="F35" s="20"/>
      <c r="G35" s="44">
        <f>(2*J33*G30)+((K32+1)*I30)+(2*0.8*B13*B27)+2*B21</f>
        <v>3096.6</v>
      </c>
      <c r="H35" s="40" t="s">
        <v>72</v>
      </c>
      <c r="I35" s="40" t="s">
        <v>198</v>
      </c>
      <c r="J35" s="40" t="s">
        <v>199</v>
      </c>
      <c r="K35" s="40"/>
      <c r="L35" s="40"/>
      <c r="N35" s="115" t="s">
        <v>184</v>
      </c>
    </row>
    <row r="36" spans="1:14" x14ac:dyDescent="0.2">
      <c r="A36" s="21" t="s">
        <v>73</v>
      </c>
      <c r="B36" s="46">
        <f>B35/B16</f>
        <v>25.260784609901791</v>
      </c>
      <c r="C36" s="23"/>
      <c r="D36" s="36" t="s">
        <v>116</v>
      </c>
      <c r="E36" s="37" t="s">
        <v>74</v>
      </c>
      <c r="F36" s="20"/>
      <c r="G36" s="49"/>
      <c r="H36" s="44">
        <f>G35/B16</f>
        <v>387.07499999999999</v>
      </c>
      <c r="I36" s="40" t="s">
        <v>75</v>
      </c>
      <c r="J36" s="40"/>
      <c r="K36" s="40"/>
      <c r="L36" s="40"/>
      <c r="N36" s="117">
        <f>N34/B16</f>
        <v>14.218234306991654</v>
      </c>
    </row>
    <row r="37" spans="1:14" x14ac:dyDescent="0.2">
      <c r="A37" s="21" t="s">
        <v>76</v>
      </c>
      <c r="B37" s="50">
        <f>300*B15/B36</f>
        <v>228.02142090797051</v>
      </c>
      <c r="C37" s="23"/>
      <c r="D37" s="36" t="s">
        <v>117</v>
      </c>
      <c r="E37" s="37" t="s">
        <v>77</v>
      </c>
      <c r="F37" s="20"/>
      <c r="G37" s="44">
        <f>(0.4+((1.8*B15/B13)-0.77)^2)*B36</f>
        <v>24.343834295464507</v>
      </c>
      <c r="H37" s="40" t="s">
        <v>78</v>
      </c>
      <c r="I37" s="40"/>
      <c r="J37" s="40"/>
      <c r="K37" s="40"/>
      <c r="L37" s="40"/>
      <c r="N37" s="115" t="s">
        <v>185</v>
      </c>
    </row>
    <row r="38" spans="1:14" x14ac:dyDescent="0.2">
      <c r="A38" s="21" t="s">
        <v>79</v>
      </c>
      <c r="B38" s="46">
        <f>(B37/B18)*100</f>
        <v>12.001127416208975</v>
      </c>
      <c r="C38" s="51"/>
      <c r="D38" s="36" t="s">
        <v>118</v>
      </c>
      <c r="E38" s="37" t="s">
        <v>80</v>
      </c>
      <c r="F38" s="20"/>
      <c r="G38" s="40"/>
      <c r="H38" s="40"/>
      <c r="I38" s="40"/>
      <c r="J38" s="40"/>
      <c r="K38" s="40"/>
      <c r="L38" s="40"/>
      <c r="N38" s="118">
        <f>300*B15/B46</f>
        <v>405.11359396908983</v>
      </c>
    </row>
    <row r="39" spans="1:14" x14ac:dyDescent="0.2">
      <c r="A39" s="21" t="s">
        <v>81</v>
      </c>
      <c r="B39" s="50">
        <f>100*B15/B14</f>
        <v>80</v>
      </c>
      <c r="C39" s="51"/>
      <c r="D39" s="36" t="s">
        <v>119</v>
      </c>
      <c r="E39" s="37" t="s">
        <v>26</v>
      </c>
      <c r="F39" s="20"/>
      <c r="G39" s="40" t="s">
        <v>82</v>
      </c>
      <c r="H39" s="40"/>
      <c r="I39" s="40" t="s">
        <v>83</v>
      </c>
      <c r="J39" s="40"/>
      <c r="K39" s="40"/>
      <c r="L39" s="40"/>
    </row>
    <row r="40" spans="1:14" x14ac:dyDescent="0.2">
      <c r="A40" s="21" t="s">
        <v>84</v>
      </c>
      <c r="B40" s="50">
        <f>G37</f>
        <v>24.343834295464507</v>
      </c>
      <c r="C40" s="51"/>
      <c r="D40" s="36" t="s">
        <v>120</v>
      </c>
      <c r="E40" s="37" t="s">
        <v>85</v>
      </c>
      <c r="F40" s="20"/>
      <c r="G40" s="44">
        <f>B12*(B19/B17)+(K30/2+1)*(B34-B19/B17)+2*B15*B27+2*B21</f>
        <v>124.93179985481439</v>
      </c>
      <c r="H40" s="40" t="s">
        <v>86</v>
      </c>
      <c r="I40" s="52">
        <f>600*B16*B15/(2*B32*G30+2*B33*I30+4*B15*B27+2*B21)</f>
        <v>282.57200998209157</v>
      </c>
      <c r="J40" s="40" t="s">
        <v>87</v>
      </c>
      <c r="K40" s="40"/>
      <c r="L40" s="40"/>
    </row>
    <row r="41" spans="1:14" x14ac:dyDescent="0.2">
      <c r="A41" s="21" t="s">
        <v>188</v>
      </c>
      <c r="B41" s="120">
        <f>I43</f>
        <v>105.04977515754592</v>
      </c>
      <c r="C41" s="51"/>
      <c r="D41" s="36"/>
      <c r="E41" s="37"/>
      <c r="F41" s="20"/>
      <c r="G41" s="44"/>
      <c r="H41" s="40"/>
      <c r="I41" s="52"/>
      <c r="J41" s="40"/>
      <c r="K41" s="40"/>
      <c r="L41" s="40"/>
      <c r="N41" s="10" t="s">
        <v>191</v>
      </c>
    </row>
    <row r="42" spans="1:14" x14ac:dyDescent="0.2">
      <c r="A42" s="21" t="s">
        <v>88</v>
      </c>
      <c r="B42" s="50">
        <f>G52</f>
        <v>368.8412402090616</v>
      </c>
      <c r="C42" s="51"/>
      <c r="D42" s="36" t="s">
        <v>121</v>
      </c>
      <c r="E42" s="37" t="s">
        <v>89</v>
      </c>
      <c r="F42" s="20"/>
      <c r="G42" s="44"/>
      <c r="H42" s="40"/>
      <c r="I42" s="40" t="s">
        <v>189</v>
      </c>
      <c r="J42" s="40"/>
      <c r="K42" s="40"/>
      <c r="L42" s="40"/>
      <c r="N42" s="114">
        <f>0.5*((N32-N30)*G30+(N30*I30)+(B15*B27))+B48+B15*B27</f>
        <v>105.1025390245866</v>
      </c>
    </row>
    <row r="43" spans="1:14" x14ac:dyDescent="0.2">
      <c r="A43" s="21" t="s">
        <v>90</v>
      </c>
      <c r="B43" s="53">
        <f>I40</f>
        <v>282.57200998209157</v>
      </c>
      <c r="C43" s="51"/>
      <c r="D43" s="36" t="s">
        <v>122</v>
      </c>
      <c r="E43" s="37" t="s">
        <v>91</v>
      </c>
      <c r="F43" s="20"/>
      <c r="G43" s="44"/>
      <c r="H43" s="40"/>
      <c r="I43" s="52">
        <f>0.5*((B32-B33)*G30+(B33*I30)+(B15*B27))+B40+B15*B27</f>
        <v>105.04977515754592</v>
      </c>
      <c r="J43" s="40"/>
      <c r="K43" s="40"/>
      <c r="L43" s="40"/>
    </row>
    <row r="44" spans="1:14" x14ac:dyDescent="0.2">
      <c r="A44" s="112" t="s">
        <v>177</v>
      </c>
      <c r="B44" s="113">
        <f>N30</f>
        <v>2.3744125548920736</v>
      </c>
      <c r="C44" s="51"/>
      <c r="D44" s="36"/>
      <c r="E44" s="37"/>
      <c r="F44" s="20"/>
      <c r="G44" s="44"/>
      <c r="H44" s="40"/>
      <c r="I44" s="40"/>
      <c r="J44" s="40"/>
      <c r="K44" s="40"/>
      <c r="L44" s="40"/>
    </row>
    <row r="45" spans="1:14" x14ac:dyDescent="0.2">
      <c r="A45" s="112" t="s">
        <v>178</v>
      </c>
      <c r="B45" s="113">
        <f>N32</f>
        <v>14.617746776103964</v>
      </c>
      <c r="C45" s="51"/>
      <c r="D45" s="36"/>
      <c r="E45" s="37"/>
      <c r="F45" s="20"/>
      <c r="G45" s="44"/>
      <c r="H45" s="40"/>
      <c r="I45" s="40"/>
      <c r="J45" s="40"/>
      <c r="K45" s="40"/>
      <c r="L45" s="40"/>
    </row>
    <row r="46" spans="1:14" x14ac:dyDescent="0.2">
      <c r="A46" s="112" t="s">
        <v>179</v>
      </c>
      <c r="B46" s="113">
        <f>N36</f>
        <v>14.218234306991654</v>
      </c>
      <c r="C46" s="51"/>
      <c r="D46" s="36"/>
      <c r="E46" s="37"/>
      <c r="F46" s="20"/>
      <c r="G46" s="44"/>
      <c r="H46" s="40"/>
      <c r="I46" s="40"/>
      <c r="J46" s="40"/>
      <c r="K46" s="40"/>
      <c r="L46" s="40"/>
    </row>
    <row r="47" spans="1:14" x14ac:dyDescent="0.2">
      <c r="A47" s="112" t="s">
        <v>180</v>
      </c>
      <c r="B47" s="53">
        <f>N38</f>
        <v>405.11359396908983</v>
      </c>
      <c r="C47" s="121">
        <f>B47/B37</f>
        <v>1.7766470902424285</v>
      </c>
      <c r="D47" s="36"/>
      <c r="E47" s="37"/>
      <c r="F47" s="20"/>
      <c r="G47" s="44"/>
      <c r="H47" s="40"/>
      <c r="I47" s="40"/>
      <c r="J47" s="40"/>
      <c r="K47" s="40"/>
      <c r="L47" s="40"/>
    </row>
    <row r="48" spans="1:14" x14ac:dyDescent="0.2">
      <c r="A48" s="112" t="s">
        <v>187</v>
      </c>
      <c r="B48" s="53">
        <f>(B28*0.5)*B46</f>
        <v>56.872937227966617</v>
      </c>
      <c r="C48" s="51"/>
      <c r="D48" s="36"/>
      <c r="E48" s="37"/>
      <c r="F48" s="20"/>
      <c r="G48" s="44"/>
      <c r="H48" s="40"/>
      <c r="I48" s="40"/>
      <c r="J48" s="40"/>
      <c r="K48" s="40"/>
      <c r="L48" s="40"/>
    </row>
    <row r="49" spans="1:12" x14ac:dyDescent="0.2">
      <c r="A49" s="112" t="s">
        <v>190</v>
      </c>
      <c r="B49" s="53">
        <f>N42</f>
        <v>105.1025390245866</v>
      </c>
      <c r="C49" s="51"/>
      <c r="D49" s="36"/>
      <c r="E49" s="37"/>
      <c r="F49" s="20"/>
      <c r="G49" s="44"/>
      <c r="H49" s="40"/>
      <c r="I49" s="40"/>
      <c r="J49" s="40"/>
      <c r="K49" s="40"/>
      <c r="L49" s="40"/>
    </row>
    <row r="50" spans="1:12" x14ac:dyDescent="0.2">
      <c r="A50" s="112"/>
      <c r="B50" s="53"/>
      <c r="C50" s="51"/>
      <c r="D50" s="36"/>
      <c r="E50" s="37"/>
      <c r="F50" s="20"/>
      <c r="G50" s="44"/>
      <c r="H50" s="40"/>
      <c r="I50" s="40"/>
      <c r="J50" s="40"/>
      <c r="K50" s="40"/>
      <c r="L50" s="40"/>
    </row>
    <row r="51" spans="1:12" x14ac:dyDescent="0.2">
      <c r="A51" s="127"/>
      <c r="B51" s="128"/>
      <c r="C51" s="128"/>
      <c r="D51" s="128"/>
      <c r="E51" s="30"/>
      <c r="F51" s="18"/>
      <c r="G51" s="44">
        <f>G40/B16</f>
        <v>15.616474981851798</v>
      </c>
      <c r="H51" s="40" t="s">
        <v>92</v>
      </c>
      <c r="I51" s="40"/>
      <c r="J51" s="40"/>
      <c r="K51" s="40"/>
      <c r="L51" s="40"/>
    </row>
    <row r="52" spans="1:12" x14ac:dyDescent="0.2">
      <c r="A52" s="135" t="s">
        <v>93</v>
      </c>
      <c r="B52" s="136"/>
      <c r="C52" s="136"/>
      <c r="D52" s="136"/>
      <c r="E52" s="137"/>
      <c r="F52" s="20"/>
      <c r="G52" s="54">
        <f>300*B15/G51</f>
        <v>368.8412402090616</v>
      </c>
      <c r="H52" s="40" t="s">
        <v>94</v>
      </c>
      <c r="I52" s="40"/>
      <c r="J52" s="40"/>
      <c r="K52" s="40"/>
      <c r="L52" s="40"/>
    </row>
    <row r="53" spans="1:12" x14ac:dyDescent="0.2">
      <c r="A53" s="129"/>
      <c r="B53" s="130"/>
      <c r="C53" s="130"/>
      <c r="D53" s="130"/>
      <c r="E53" s="131"/>
      <c r="F53" s="20"/>
    </row>
    <row r="54" spans="1:12" x14ac:dyDescent="0.2">
      <c r="A54" s="132"/>
      <c r="B54" s="133"/>
      <c r="C54" s="133"/>
      <c r="D54" s="133"/>
      <c r="E54" s="134"/>
      <c r="F54" s="20"/>
    </row>
    <row r="55" spans="1:12" x14ac:dyDescent="0.2">
      <c r="A55" s="124"/>
      <c r="B55" s="125"/>
      <c r="C55" s="125"/>
      <c r="D55" s="125"/>
      <c r="E55" s="126"/>
      <c r="F55" s="20"/>
    </row>
    <row r="56" spans="1:12" x14ac:dyDescent="0.2">
      <c r="A56" s="123" t="s">
        <v>95</v>
      </c>
      <c r="B56" s="123"/>
      <c r="C56" s="123"/>
      <c r="D56" s="123"/>
      <c r="E56" s="123"/>
    </row>
    <row r="64" spans="1:12" hidden="1" x14ac:dyDescent="0.2"/>
  </sheetData>
  <sheetProtection selectLockedCells="1"/>
  <mergeCells count="13">
    <mergeCell ref="A56:E56"/>
    <mergeCell ref="A55:E55"/>
    <mergeCell ref="A51:D51"/>
    <mergeCell ref="A53:E53"/>
    <mergeCell ref="A54:E54"/>
    <mergeCell ref="A52:E52"/>
    <mergeCell ref="A1:E1"/>
    <mergeCell ref="A2:D2"/>
    <mergeCell ref="A3:D3"/>
    <mergeCell ref="A4:D4"/>
    <mergeCell ref="A10:D10"/>
    <mergeCell ref="A5:D5"/>
    <mergeCell ref="A6:D6"/>
  </mergeCells>
  <phoneticPr fontId="1" type="noConversion"/>
  <dataValidations count="7">
    <dataValidation type="decimal" allowBlank="1" showInputMessage="1" showErrorMessage="1" error="Number to be between 5 and 20" sqref="B14">
      <formula1>5</formula1>
      <formula2>25</formula2>
    </dataValidation>
    <dataValidation allowBlank="1" showInputMessage="1" showErrorMessage="1" error="Number to be integer number between 5 and 20." sqref="B15"/>
    <dataValidation allowBlank="1" showInputMessage="1" showErrorMessage="1" error="Number to be between 5 and 20" sqref="B13"/>
    <dataValidation type="whole" operator="lessThan" allowBlank="1" showInputMessage="1" showErrorMessage="1" sqref="B31 B33:B40 B42">
      <formula1>-10000</formula1>
    </dataValidation>
    <dataValidation type="whole" allowBlank="1" showInputMessage="1" showErrorMessage="1" error="Number to be between 5 and 20" sqref="B12">
      <formula1>5</formula1>
      <formula2>24</formula2>
    </dataValidation>
    <dataValidation operator="equal" allowBlank="1" showInputMessage="1" showErrorMessage="1" sqref="B43:B50"/>
    <dataValidation operator="lessThan" allowBlank="1" showInputMessage="1" showErrorMessage="1" sqref="B32 B41"/>
  </dataValidations>
  <printOptions horizontalCentered="1" verticalCentered="1" gridLines="1"/>
  <pageMargins left="0.59055118110236227" right="0.59055118110236227" top="0.59055118110236227" bottom="0.59055118110236227" header="0" footer="0"/>
  <pageSetup paperSize="9" scale="88" fitToWidth="0" orientation="landscape" r:id="rId1"/>
  <headerFooter alignWithMargins="0"/>
  <colBreaks count="2" manualBreakCount="2">
    <brk id="5" max="47" man="1"/>
    <brk id="14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4"/>
  <sheetViews>
    <sheetView topLeftCell="B1" zoomScale="70" workbookViewId="0">
      <selection activeCell="D9" sqref="D9"/>
    </sheetView>
  </sheetViews>
  <sheetFormatPr defaultRowHeight="12.75" x14ac:dyDescent="0.2"/>
  <cols>
    <col min="2" max="2" width="1.85546875" customWidth="1"/>
    <col min="3" max="3" width="50" customWidth="1"/>
  </cols>
  <sheetData>
    <row r="1" spans="3:12" ht="13.5" thickBot="1" x14ac:dyDescent="0.25"/>
    <row r="2" spans="3:12" ht="13.5" thickBot="1" x14ac:dyDescent="0.25">
      <c r="C2" s="186" t="s">
        <v>9</v>
      </c>
      <c r="D2" s="187"/>
      <c r="E2" s="187"/>
      <c r="F2" s="187"/>
      <c r="G2" s="187"/>
      <c r="H2" s="187"/>
      <c r="I2" s="187"/>
      <c r="J2" s="187"/>
      <c r="K2" s="188"/>
    </row>
    <row r="3" spans="3:12" ht="13.5" thickBot="1" x14ac:dyDescent="0.25">
      <c r="K3" s="6">
        <v>180107</v>
      </c>
      <c r="L3" s="6"/>
    </row>
    <row r="4" spans="3:12" ht="13.5" thickBot="1" x14ac:dyDescent="0.25">
      <c r="C4" s="4" t="s">
        <v>11</v>
      </c>
      <c r="D4" s="182" t="s">
        <v>12</v>
      </c>
      <c r="E4" s="182"/>
      <c r="F4" s="182"/>
      <c r="G4" s="182"/>
      <c r="H4" s="182"/>
      <c r="I4" s="182"/>
      <c r="J4" s="182"/>
      <c r="K4" s="183"/>
    </row>
    <row r="5" spans="3:12" x14ac:dyDescent="0.2">
      <c r="C5" s="3">
        <f ca="1">NOW()</f>
        <v>42118.414575347226</v>
      </c>
      <c r="D5" s="2" t="s">
        <v>10</v>
      </c>
    </row>
    <row r="6" spans="3:12" x14ac:dyDescent="0.2">
      <c r="C6" s="2" t="s">
        <v>0</v>
      </c>
      <c r="D6" s="66">
        <v>1.6</v>
      </c>
    </row>
    <row r="7" spans="3:12" x14ac:dyDescent="0.2">
      <c r="C7" s="2" t="s">
        <v>1</v>
      </c>
      <c r="D7" s="7">
        <v>0.7</v>
      </c>
      <c r="F7" s="1">
        <v>0</v>
      </c>
      <c r="G7" s="1">
        <v>0</v>
      </c>
    </row>
    <row r="8" spans="3:12" x14ac:dyDescent="0.2">
      <c r="C8" s="2" t="s">
        <v>2</v>
      </c>
      <c r="D8" s="7">
        <v>1.1000000000000001</v>
      </c>
      <c r="F8" s="1">
        <f>IF(D15&lt;D6,0.5*D10,D6)</f>
        <v>2.5126123556350324</v>
      </c>
      <c r="G8" s="1">
        <f>D11</f>
        <v>1.3133741034899771</v>
      </c>
    </row>
    <row r="9" spans="3:12" x14ac:dyDescent="0.2">
      <c r="C9" s="2" t="s">
        <v>7</v>
      </c>
      <c r="D9" s="8">
        <v>3.3</v>
      </c>
      <c r="F9" s="1">
        <f>D10-F8</f>
        <v>2.5126123556350324</v>
      </c>
      <c r="G9" s="1">
        <f>D11</f>
        <v>1.3133741034899771</v>
      </c>
    </row>
    <row r="10" spans="3:12" x14ac:dyDescent="0.2">
      <c r="C10" s="2" t="s">
        <v>4</v>
      </c>
      <c r="D10" s="69">
        <f>IF(D19&lt;D7,D21,D22)</f>
        <v>5.0252247112700648</v>
      </c>
      <c r="E10" s="1"/>
      <c r="F10" s="1">
        <f>D10</f>
        <v>5.0252247112700648</v>
      </c>
      <c r="G10" s="1">
        <v>0</v>
      </c>
    </row>
    <row r="11" spans="3:12" x14ac:dyDescent="0.2">
      <c r="C11" s="2" t="s">
        <v>3</v>
      </c>
      <c r="D11" s="70">
        <f>IF(D15&gt;D6,D6,D15)</f>
        <v>1.3133741034899771</v>
      </c>
      <c r="F11" s="1"/>
    </row>
    <row r="12" spans="3:12" x14ac:dyDescent="0.2">
      <c r="C12" s="2" t="s">
        <v>155</v>
      </c>
      <c r="D12" s="70">
        <f>IF(D19&lt;D7,D18,D23)</f>
        <v>2.337662337662338</v>
      </c>
      <c r="F12" s="1"/>
    </row>
    <row r="13" spans="3:12" x14ac:dyDescent="0.2">
      <c r="C13" s="2" t="s">
        <v>156</v>
      </c>
      <c r="D13" s="71">
        <f>2*D12</f>
        <v>4.675324675324676</v>
      </c>
    </row>
    <row r="14" spans="3:12" x14ac:dyDescent="0.2">
      <c r="C14" s="184" t="s">
        <v>161</v>
      </c>
      <c r="D14" s="185"/>
      <c r="G14" s="1"/>
      <c r="H14" s="1"/>
    </row>
    <row r="15" spans="3:12" x14ac:dyDescent="0.2">
      <c r="C15" s="67" t="s">
        <v>8</v>
      </c>
      <c r="D15" s="68">
        <f>-(D7^2)/(2*D8)+SQRT((D7*D9)+(D7^4)/(4*D8^2))</f>
        <v>1.3133741034899771</v>
      </c>
      <c r="G15" s="1"/>
      <c r="H15" s="1" t="e">
        <f>#REF!</f>
        <v>#REF!</v>
      </c>
    </row>
    <row r="16" spans="3:12" x14ac:dyDescent="0.2">
      <c r="C16" s="67" t="s">
        <v>6</v>
      </c>
      <c r="D16" s="68">
        <f>(D9/D6)+(D7/D8)+(D6/D7)</f>
        <v>4.9845779220779214</v>
      </c>
      <c r="G16" s="1"/>
      <c r="H16">
        <v>0</v>
      </c>
    </row>
    <row r="17" spans="3:4" x14ac:dyDescent="0.2">
      <c r="C17" s="67" t="s">
        <v>5</v>
      </c>
      <c r="D17" s="68">
        <f>D7/D8+SQRT((4*D9/D7)+(D7/(D8))^2)</f>
        <v>5.0252247112700648</v>
      </c>
    </row>
    <row r="18" spans="3:4" x14ac:dyDescent="0.2">
      <c r="C18" s="67" t="s">
        <v>157</v>
      </c>
      <c r="D18" s="68">
        <f>(D6^2/(2*SQRT(D6)))+(D6*SQRT(D6))/(2*D8)</f>
        <v>1.9318641705755919</v>
      </c>
    </row>
    <row r="19" spans="3:4" x14ac:dyDescent="0.2">
      <c r="C19" s="67" t="s">
        <v>158</v>
      </c>
      <c r="D19" s="68">
        <f>SQRT(D8*D6)</f>
        <v>1.3266499161421601</v>
      </c>
    </row>
    <row r="20" spans="3:4" x14ac:dyDescent="0.2">
      <c r="C20" s="67" t="s">
        <v>159</v>
      </c>
      <c r="D20" s="68">
        <f>D6/D19+D19/D8</f>
        <v>2.412090756622109</v>
      </c>
    </row>
    <row r="21" spans="3:4" x14ac:dyDescent="0.2">
      <c r="C21" s="67" t="s">
        <v>160</v>
      </c>
      <c r="D21" s="68">
        <f>(2*D20)+(D9-2*D18)/D6</f>
        <v>4.4718513000247277</v>
      </c>
    </row>
    <row r="22" spans="3:4" x14ac:dyDescent="0.2">
      <c r="C22" s="67" t="s">
        <v>153</v>
      </c>
      <c r="D22" s="68">
        <f>IF(D15&lt;D6,D17,D16)</f>
        <v>5.0252247112700648</v>
      </c>
    </row>
    <row r="23" spans="3:4" ht="13.5" thickBot="1" x14ac:dyDescent="0.25">
      <c r="C23" s="67" t="s">
        <v>154</v>
      </c>
      <c r="D23" s="68">
        <f>(D6^2/(2*D7))+(D7*D6/(2*D8))</f>
        <v>2.337662337662338</v>
      </c>
    </row>
    <row r="24" spans="3:4" ht="13.5" thickBot="1" x14ac:dyDescent="0.25">
      <c r="C24" s="4"/>
    </row>
  </sheetData>
  <sheetProtection password="E8DE" sheet="1" objects="1" scenarios="1" selectLockedCells="1"/>
  <mergeCells count="3">
    <mergeCell ref="D4:K4"/>
    <mergeCell ref="C14:D14"/>
    <mergeCell ref="C2:K2"/>
  </mergeCells>
  <phoneticPr fontId="1" type="noConversion"/>
  <dataValidations count="3">
    <dataValidation type="decimal" operator="greaterThan" allowBlank="1" showInputMessage="1" showErrorMessage="1" sqref="D9">
      <formula1>0</formula1>
    </dataValidation>
    <dataValidation type="decimal" allowBlank="1" showInputMessage="1" showErrorMessage="1" sqref="D7:D8">
      <formula1>0</formula1>
      <formula2>5</formula2>
    </dataValidation>
    <dataValidation type="decimal" allowBlank="1" showInputMessage="1" showErrorMessage="1" sqref="D6">
      <formula1>0</formula1>
      <formula2>30</formula2>
    </dataValidation>
  </dataValidations>
  <pageMargins left="0.75" right="0.75" top="1" bottom="1" header="0.5" footer="0.5"/>
  <pageSetup paperSize="9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Traffic(all peaks)</vt:lpstr>
      <vt:lpstr>Traffic&amp;Basements</vt:lpstr>
      <vt:lpstr>DoubleDeck</vt:lpstr>
      <vt:lpstr>Traffic(hall call)</vt:lpstr>
      <vt:lpstr>Lift dynamics</vt:lpstr>
      <vt:lpstr>'Traffic&amp;Basements'!Print_Area</vt:lpstr>
      <vt:lpstr>'Traffic(all peaks)'!Print_Area</vt:lpstr>
      <vt:lpstr>'Traffic(hall call)'!Print_Area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Gina Barney</dc:creator>
  <cp:lastModifiedBy>Monteiro, Ayeesha</cp:lastModifiedBy>
  <dcterms:created xsi:type="dcterms:W3CDTF">2006-10-11T18:35:59Z</dcterms:created>
  <dcterms:modified xsi:type="dcterms:W3CDTF">2015-04-24T08:57:03Z</dcterms:modified>
</cp:coreProperties>
</file>